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870842f34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463d6517b19f4078"/>
    <x:sheet xmlns:r="http://schemas.openxmlformats.org/officeDocument/2006/relationships" name="Inputs" sheetId="2" r:id="R04a3fef0c7cb4ef8"/>
    <x:sheet xmlns:r="http://schemas.openxmlformats.org/officeDocument/2006/relationships" name="Launch" sheetId="3" r:id="R96989b008c7b45d0"/>
    <x:sheet xmlns:r="http://schemas.openxmlformats.org/officeDocument/2006/relationships" name="Operations" sheetId="4" r:id="Rb4c0968a8b43491a"/>
    <x:sheet xmlns:r="http://schemas.openxmlformats.org/officeDocument/2006/relationships" name="Cash flow" sheetId="5" r:id="R5aa247ce4b124f18"/>
    <x:sheet xmlns:r="http://schemas.openxmlformats.org/officeDocument/2006/relationships" name="Fieldwork" sheetId="6" r:id="Rf76cf8b5b61b4a8b"/>
    <x:sheet xmlns:r="http://schemas.openxmlformats.org/officeDocument/2006/relationships" name="Menu costing" sheetId="7" r:id="Rd6b24c3249cd4f7f"/>
    <x:sheet xmlns:r="http://schemas.openxmlformats.org/officeDocument/2006/relationships" name="Baskets" sheetId="8" r:id="R9c396b2e060c49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;(#,##0);&quot;–&quot;"/>
    <x:numFmt numFmtId="201" formatCode="0.0%;(0.0%);&quot;–&quot;"/>
    <x:numFmt numFmtId="202" formatCode="0.0"/>
    <x:numFmt numFmtId="203" formatCode="#,##0.0,,;(#,##0.0,,);&quot;–&quot;"/>
    <x:numFmt numFmtId="204" formatCode="0.00"/>
    <x:numFmt numFmtId="205" formatCode="0.00&quot;x&quot;"/>
    <x:numFmt numFmtId="206" formatCode=";;;"/>
  </x:numFmts>
  <x:fonts count="12">
    <x:font>
      <x:sz val="11"/>
      <x:name val="Carlito"/>
    </x:font>
    <x:font>
      <x:sz val="10"/>
      <x:color rgb="FF23354A"/>
      <x:name val="Arial"/>
    </x:font>
    <x:font>
      <x:b/>
      <x:sz val="16"/>
      <x:color rgb="FF23354A"/>
      <x:name val="Arial"/>
    </x:font>
    <x:font>
      <x:b/>
      <x:sz val="10"/>
      <x:color rgb="FF008040"/>
      <x:name val="Arial"/>
    </x:font>
    <x:font>
      <x:sz val="10"/>
      <x:color rgb="FF008040"/>
      <x:name val="Arial"/>
    </x:font>
    <x:font>
      <x:sz val="10"/>
      <x:color rgb="FF000000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b/>
      <x:sz val="10"/>
      <x:color rgb="FF23354A"/>
      <x:name val="Arial"/>
    </x:font>
    <x:font>
      <x:b/>
      <x:sz val="10"/>
      <x:color rgb="FF000000"/>
      <x:name val="Arial"/>
    </x:font>
    <x:font>
      <x:b/>
      <x:sz val="11"/>
      <x:color rgb="FFFFFFFF"/>
      <x:name val="Carlito"/>
    </x:font>
    <x:font>
      <x:sz val="11"/>
      <x:color rgb="FF0000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23354A"/>
      </x:patternFill>
    </x:fill>
    <x:fill>
      <x:patternFill patternType="solid">
        <x:fgColor rgb="FFEEF2F6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 style="dashed">
        <x:color rgb="FF23354A"/>
      </x:left>
      <x:right style="dashed">
        <x:color rgb="FF23354A"/>
      </x:right>
      <x:top style="dashed">
        <x:color rgb="FF23354A"/>
      </x:top>
      <x:bottom style="dashed">
        <x:color rgb="FF23354A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2" borderId="0" xfId="0" applyNumberFormat="1" applyFont="1" applyFill="1" applyBorder="1"/>
    <x:xf numFmtId="0" fontId="6" fillId="2" borderId="0" xfId="0" applyNumberFormat="1" applyFont="1" applyFill="1" applyBorder="1"/>
    <x:xf numFmtId="200" fontId="6" fillId="2" borderId="0" xfId="0" applyNumberFormat="1" applyFont="1" applyFill="1" applyBorder="1"/>
    <x:xf numFmtId="201" fontId="6" fillId="2" borderId="0" xfId="0" applyNumberFormat="1" applyFont="1" applyFill="1" applyBorder="1"/>
    <x:xf numFmtId="0" fontId="1" fillId="3" borderId="0" xfId="0" applyNumberFormat="1" applyFont="1" applyFill="1" applyBorder="1"/>
    <x:xf numFmtId="0" fontId="7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201" fontId="5" fillId="4" borderId="0" xfId="0" applyNumberFormat="1" applyFont="1" applyFill="1" applyBorder="1"/>
    <x:xf numFmtId="201" fontId="4" fillId="0" borderId="0" xfId="0" applyNumberFormat="1" applyFont="1" applyFill="1" applyBorder="1"/>
    <x:xf numFmtId="201" fontId="1" fillId="0" borderId="0" xfId="0" applyNumberFormat="1" applyFont="1" applyFill="1" applyBorder="1"/>
    <x:xf numFmtId="201" fontId="1" fillId="2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/>
    <x:xf numFmtId="200" fontId="4" fillId="0" borderId="0" xfId="0" applyNumberFormat="1" applyFont="1" applyFill="1" applyBorder="1"/>
    <x:xf numFmtId="200" fontId="1" fillId="0" borderId="0" xfId="0" applyNumberFormat="1" applyFont="1" applyFill="1" applyBorder="1"/>
    <x:xf numFmtId="201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/>
    <x:xf numFmtId="200" fontId="4" fillId="4" borderId="0" xfId="0" applyNumberFormat="1" applyFont="1" applyFill="1" applyBorder="1"/>
    <x:xf numFmtId="200" fontId="6" fillId="5" borderId="0" xfId="0" applyNumberFormat="1" applyFont="1" applyFill="1" applyBorder="1"/>
    <x:xf numFmtId="200" fontId="4" fillId="0" borderId="0" xfId="0" applyNumberFormat="1" applyFont="1" applyFill="1" applyBorder="1" applyAlignment="1">
      <x:alignment horizontal="right"/>
    </x:xf>
    <x:xf numFmtId="200" fontId="5" fillId="0" borderId="0" xfId="0" applyNumberFormat="1" applyFont="1" applyFill="1" applyBorder="1" applyAlignment="1">
      <x:alignment horizontal="right"/>
    </x:xf>
    <x:xf numFmtId="200" fontId="1" fillId="0" borderId="0" xfId="0" applyNumberFormat="1" applyFont="1" applyFill="1" applyBorder="1" applyAlignment="1">
      <x:alignment horizontal="right"/>
    </x:xf>
    <x:xf numFmtId="201" fontId="5" fillId="0" borderId="0" xfId="0" applyNumberFormat="1" applyFont="1" applyFill="1" applyBorder="1" applyAlignment="1">
      <x:alignment horizontal="right"/>
    </x:xf>
    <x:xf numFmtId="201" fontId="1" fillId="0" borderId="0" xfId="0" applyNumberFormat="1" applyFont="1" applyFill="1" applyBorder="1" applyAlignment="1">
      <x:alignment horizontal="right"/>
    </x:xf>
    <x:xf numFmtId="202" fontId="4" fillId="0" borderId="0" xfId="0" applyNumberFormat="1" applyFont="1" applyFill="1" applyBorder="1" applyAlignment="1">
      <x:alignment horizontal="right"/>
    </x:xf>
    <x:xf numFmtId="202" fontId="1" fillId="0" borderId="0" xfId="0" applyNumberFormat="1" applyFont="1" applyFill="1" applyBorder="1" applyAlignment="1">
      <x:alignment horizontal="right"/>
    </x:xf>
    <x:xf numFmtId="202" fontId="5" fillId="0" borderId="0" xfId="0" applyNumberFormat="1" applyFont="1" applyFill="1" applyBorder="1" applyAlignment="1">
      <x:alignment horizontal="right"/>
    </x:xf>
    <x:xf numFmtId="200" fontId="5" fillId="4" borderId="0" xfId="0" applyNumberFormat="1" applyFont="1" applyFill="1" applyBorder="1" applyAlignment="1">
      <x:alignment horizontal="right"/>
    </x:xf>
    <x:xf numFmtId="200" fontId="4" fillId="4" borderId="0" xfId="0" applyNumberFormat="1" applyFont="1" applyFill="1" applyBorder="1" applyAlignment="1">
      <x:alignment horizontal="right"/>
    </x:xf>
    <x:xf numFmtId="0" fontId="8" fillId="4" borderId="0" xfId="0" applyNumberFormat="1" applyFont="1" applyFill="1" applyBorder="1"/>
    <x:xf numFmtId="200" fontId="9" fillId="4" borderId="0" xfId="0" applyNumberFormat="1" applyFont="1" applyFill="1" applyBorder="1" applyAlignment="1">
      <x:alignment horizontal="right"/>
    </x:xf>
    <x:xf numFmtId="200" fontId="3" fillId="4" borderId="0" xfId="0" applyNumberFormat="1" applyFont="1" applyFill="1" applyBorder="1" applyAlignment="1">
      <x:alignment horizontal="right"/>
    </x:xf>
    <x:xf numFmtId="202" fontId="4" fillId="0" borderId="0" xfId="0" applyNumberFormat="1" applyFont="1" applyFill="1" applyBorder="1"/>
    <x:xf numFmtId="203" fontId="4" fillId="0" borderId="0" xfId="0" applyNumberFormat="1" applyFont="1" applyFill="1" applyBorder="1"/>
    <x:xf numFmtId="203" fontId="5" fillId="0" borderId="0" xfId="0" applyNumberFormat="1" applyFont="1" applyFill="1" applyBorder="1"/>
    <x:xf numFmtId="203" fontId="1" fillId="0" borderId="0" xfId="0" applyNumberFormat="1" applyFont="1" applyFill="1" applyBorder="1"/>
    <x:xf numFmtId="203" fontId="5" fillId="4" borderId="0" xfId="0" applyNumberFormat="1" applyFont="1" applyFill="1" applyBorder="1"/>
    <x:xf numFmtId="203" fontId="9" fillId="4" borderId="0" xfId="0" applyNumberFormat="1" applyFont="1" applyFill="1" applyBorder="1"/>
    <x:xf numFmtId="202" fontId="1" fillId="0" borderId="0" xfId="0" applyNumberFormat="1" applyFont="1" applyFill="1" applyBorder="1"/>
    <x:xf numFmtId="0" fontId="0" fillId="3" borderId="0" xfId="0" applyNumberFormat="1" applyFont="1" applyFill="1" applyBorder="1"/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11" fillId="2" borderId="0" xfId="0" applyNumberFormat="1" applyFont="1" applyFill="1" applyBorder="1"/>
    <x:xf numFmtId="0" fontId="5" fillId="2" borderId="0" xfId="0" applyNumberFormat="1" applyFont="1" applyFill="1" applyBorder="1"/>
    <x:xf numFmtId="200" fontId="5" fillId="2" borderId="0" xfId="0" applyNumberFormat="1" applyFont="1" applyFill="1" applyBorder="1"/>
    <x:xf numFmtId="204" fontId="4" fillId="0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205" fontId="1" fillId="0" borderId="0" xfId="0" applyNumberFormat="1" applyFont="1" applyFill="1" applyBorder="1"/>
    <x:xf numFmtId="206" fontId="4" fillId="0" borderId="0" xfId="0" applyNumberFormat="1" applyFont="1" applyFill="1" applyBorder="1"/>
  </x:cellXfs>
  <x:cellStyles count="1">
    <x:cellStyle name="Normal" xfId="0"/>
  </x:cellStyles>
  <x:dxfs count="4">
    <x:dxf>
      <x:font>
        <x:color rgb="FF9F2E27"/>
      </x:font>
      <x:fill>
        <x:patternFill patternType="solid">
          <x:bgColor rgb="FFFBE5E0"/>
        </x:patternFill>
      </x:fill>
    </x:dxf>
    <x:dxf>
      <x:font>
        <x:color rgb="FF9F2E27"/>
      </x:font>
      <x:fill>
        <x:patternFill patternType="solid">
          <x:bgColor rgb="FFFBE5E0"/>
        </x:patternFill>
      </x:fill>
    </x:dxf>
    <x:dxf>
      <x:font>
        <x:color rgb="FF9F2E27"/>
      </x:font>
      <x:fill>
        <x:patternFill patternType="solid">
          <x:bgColor rgb="FFFBE5E0"/>
        </x:patternFill>
      </x:fill>
    </x:dxf>
    <x:dxf>
      <x:font>
        <x:b/>
        <x:color rgb="FF9F2E27"/>
      </x:font>
      <x:fill>
        <x:patternFill patternType="solid">
          <x:bgColor rgb="FFFBE5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75a6c5f5c420d" /><Relationship Type="http://schemas.openxmlformats.org/officeDocument/2006/relationships/theme" Target="/xl/theme/theme1.xml" Id="R4e9f8f9299ea4bbd" /><Relationship Type="http://schemas.openxmlformats.org/officeDocument/2006/relationships/sharedStrings" Target="/xl/sharedStrings.xml" Id="R3d0a05c7fd534283" /><Relationship Type="http://schemas.openxmlformats.org/officeDocument/2006/relationships/worksheet" Target="/xl/worksheets/sheet1.xml" Id="R463d6517b19f4078" /><Relationship Type="http://schemas.openxmlformats.org/officeDocument/2006/relationships/worksheet" Target="/xl/worksheets/sheet2.xml" Id="R04a3fef0c7cb4ef8" /><Relationship Type="http://schemas.openxmlformats.org/officeDocument/2006/relationships/worksheet" Target="/xl/worksheets/sheet3.xml" Id="R96989b008c7b45d0" /><Relationship Type="http://schemas.openxmlformats.org/officeDocument/2006/relationships/worksheet" Target="/xl/worksheets/sheet4.xml" Id="Rb4c0968a8b43491a" /><Relationship Type="http://schemas.openxmlformats.org/officeDocument/2006/relationships/worksheet" Target="/xl/worksheets/sheet5.xml" Id="R5aa247ce4b124f18" /><Relationship Type="http://schemas.openxmlformats.org/officeDocument/2006/relationships/worksheet" Target="/xl/worksheets/sheet6.xml" Id="Rf76cf8b5b61b4a8b" /><Relationship Type="http://schemas.openxmlformats.org/officeDocument/2006/relationships/worksheet" Target="/xl/worksheets/sheet7.xml" Id="Rd6b24c3249cd4f7f" /><Relationship Type="http://schemas.openxmlformats.org/officeDocument/2006/relationships/worksheet" Target="/xl/worksheets/sheet8.xml" Id="R9c396b2e060c496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2d2394862d34c2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Launch cash surplus (IDR millions)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Cash surplus (IDR m)</c:v>
          </c:tx>
          <c:spPr>
            <a:ln xmlns:a="http://schemas.openxmlformats.org/drawingml/2006/main" w="19050">
              <a:solidFill>
                <a:srgbClr val="476D9A"/>
              </a:solidFill>
              <a:prstDash val="solid"/>
            </a:ln>
          </c:spPr>
          <c:marker>
            <c:symbol val="none"/>
          </c:marker>
          <c:cat>
            <c:strRef>
              <c:f>'Summary'!$I$8:$I$19</c:f>
              <c:strCache>
                <c:ptCount val="0"/>
              </c:strCache>
            </c:strRef>
          </c:cat>
          <c:val>
            <c:numRef>
              <c:f>'Summary'!$J$8:$J$19</c:f>
              <c:numCache>
                <c:formatCode>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21</xdr:row>
      <xdr:rowOff>0</xdr:rowOff>
    </xdr:from>
    <xdr:to>
      <xdr:col>16</xdr:col>
      <xdr:colOff>0</xdr:colOff>
      <xdr:row>37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2d2394862d34c2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962f8345c0749c2" /></Relationships>
</file>

<file path=xl/worksheets/sheet1.xml><?xml version="1.0" encoding="utf-8"?>
<x:worksheet xmlns:x="http://schemas.openxmlformats.org/spreadsheetml/2006/main">
  <x:sheetPr>
    <x:tabColor rgb="FF2335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53" hidden="0" customWidth="1"/>
    <x:col min="4" max="4" width="16" hidden="0" customWidth="1"/>
    <x:col min="5" max="5" width="18" hidden="0" customWidth="1"/>
    <x:col min="6" max="6" width="18" hidden="0" customWidth="1"/>
    <x:col min="7" max="7" width="3" hidden="0" customWidth="1"/>
    <x:col min="8" max="8" width="3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2" customHeight="1">
      <x:c r="A2" s="1"/>
      <x:c r="B2" s="1"/>
      <x:c r="C2" s="2" t="str">
        <x:v>Maya Berawa · Summary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2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2" customHeight="1">
      <x:c r="A4" s="1"/>
      <x:c r="B4" s="1"/>
      <x:c r="C4" s="1" t="str">
        <x:v>Case selected</x:v>
      </x:c>
      <x:c r="D4" s="1"/>
      <x:c r="E4" s="5" t="str">
        <x:f>'Inputs'!G4</x:f>
        <x:v>Base</x:v>
      </x:c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22" customHeight="1">
      <x:c r="A6" s="1"/>
      <x:c r="B6" s="1"/>
      <x:c r="C6" s="13" t="str">
        <x:v>Steady standard month</x:v>
      </x:c>
      <x:c r="D6" s="13" t="str">
        <x:v>Unit</x:v>
      </x:c>
      <x:c r="E6" s="13" t="str">
        <x:v>Day café</x:v>
      </x:c>
      <x:c r="F6" s="13" t="str">
        <x:v>Night option</x:v>
      </x:c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22" customHeight="1">
      <x:c r="A7" s="1"/>
      <x:c r="B7" s="1"/>
      <x:c r="C7" s="1"/>
      <x:c r="D7" s="1"/>
      <x:c r="E7" s="1"/>
      <x:c r="F7" s="1"/>
      <x:c r="G7" s="1"/>
      <x:c r="H7" s="1"/>
      <x:c r="I7" s="1" t="str">
        <x:v>Month</x:v>
      </x:c>
      <x:c r="J7" s="1" t="str">
        <x:v>Cash surplus (IDR m)</x:v>
      </x:c>
      <x:c r="K7" s="1" t="str">
        <x:v>Rent reserve (IDR m)</x:v>
      </x:c>
      <x:c r="L7" s="1"/>
      <x:c r="M7" s="1"/>
      <x:c r="N7" s="1"/>
      <x:c r="O7" s="1"/>
      <x:c r="P7" s="1"/>
    </x:row>
    <x:row r="8" ht="22" customHeight="1">
      <x:c r="A8" s="1"/>
      <x:c r="B8" s="1"/>
      <x:c r="C8" s="1" t="str">
        <x:v>Orders per active day/night</x:v>
      </x:c>
      <x:c r="D8" s="1" t="str">
        <x:v>orders</x:v>
      </x:c>
      <x:c r="E8" s="49" t="n">
        <x:f>'Operations'!E12</x:f>
        <x:v>75</x:v>
      </x:c>
      <x:c r="F8" s="49" t="n">
        <x:f>'Operations'!F12</x:f>
        <x:v>40</x:v>
      </x:c>
      <x:c r="G8" s="1"/>
      <x:c r="H8" s="1"/>
      <x:c r="I8" s="1" t="str">
        <x:v>M1</x:v>
      </x:c>
      <x:c r="J8" s="49" t="n">
        <x:f>'Cash flow'!E17/1000000</x:f>
        <x:v>-59.20159766008442</x:v>
      </x:c>
      <x:c r="K8" s="49" t="n">
        <x:f>'Cash flow'!E26/1000000</x:f>
        <x:v>44.44444444444444</x:v>
      </x:c>
      <x:c r="L8" s="1"/>
      <x:c r="M8" s="1"/>
      <x:c r="N8" s="1"/>
      <x:c r="O8" s="1"/>
      <x:c r="P8" s="1"/>
    </x:row>
    <x:row r="9" ht="22" customHeight="1">
      <x:c r="A9" s="1"/>
      <x:c r="B9" s="1"/>
      <x:c r="C9" s="1" t="str">
        <x:v>Net monthly revenue</x:v>
      </x:c>
      <x:c r="D9" s="1" t="str">
        <x:v>IDR m</x:v>
      </x:c>
      <x:c r="E9" s="46" t="n">
        <x:f>'Operations'!E18</x:f>
        <x:v>216974389.09090906</x:v>
      </x:c>
      <x:c r="F9" s="46" t="n">
        <x:f>'Operations'!F18</x:f>
        <x:v>36149454.54545454</x:v>
      </x:c>
      <x:c r="G9" s="1"/>
      <x:c r="H9" s="1"/>
      <x:c r="I9" s="1" t="str">
        <x:v>M2</x:v>
      </x:c>
      <x:c r="J9" s="49" t="n">
        <x:f>'Cash flow'!F17/1000000</x:f>
        <x:v>-41.82251539863108</x:v>
      </x:c>
      <x:c r="K9" s="49" t="n">
        <x:f>'Cash flow'!F26/1000000</x:f>
        <x:v>88.88888888888889</x:v>
      </x:c>
      <x:c r="L9" s="1"/>
      <x:c r="M9" s="1"/>
      <x:c r="N9" s="1"/>
      <x:c r="O9" s="1"/>
      <x:c r="P9" s="1"/>
    </x:row>
    <x:row r="10" ht="22" customHeight="1">
      <x:c r="A10" s="1"/>
      <x:c r="B10" s="1"/>
      <x:c r="C10" s="1" t="str">
        <x:v>Contribution margin</x:v>
      </x:c>
      <x:c r="D10" s="1" t="str">
        <x:v>rate</x:v>
      </x:c>
      <x:c r="E10" s="19" t="n">
        <x:f>'Operations'!E28</x:f>
        <x:v>0.5339825999516703</x:v>
      </x:c>
      <x:c r="F10" s="19" t="n">
        <x:f>'Operations'!F28</x:f>
        <x:v>0.47122400941545706</x:v>
      </x:c>
      <x:c r="G10" s="1"/>
      <x:c r="H10" s="1"/>
      <x:c r="I10" s="1" t="str">
        <x:v>M3</x:v>
      </x:c>
      <x:c r="J10" s="49" t="n">
        <x:f>'Cash flow'!G17/1000000</x:f>
        <x:v>-24.443433137177735</x:v>
      </x:c>
      <x:c r="K10" s="49" t="n">
        <x:f>'Cash flow'!G26/1000000</x:f>
        <x:v>133.33333333333331</x:v>
      </x:c>
      <x:c r="L10" s="1"/>
      <x:c r="M10" s="1"/>
      <x:c r="N10" s="1"/>
      <x:c r="O10" s="1"/>
      <x:c r="P10" s="1"/>
    </x:row>
    <x:row r="11" ht="22" customHeight="1">
      <x:c r="A11" s="1"/>
      <x:c r="B11" s="1"/>
      <x:c r="C11" s="1" t="str">
        <x:v>Monthly fixed costs</x:v>
      </x:c>
      <x:c r="D11" s="1" t="str">
        <x:v>IDR m</x:v>
      </x:c>
      <x:c r="E11" s="46" t="n">
        <x:f>'Operations'!E42</x:f>
        <x:v>110338844.44444445</x:v>
      </x:c>
      <x:c r="F11" s="46" t="n">
        <x:f>'Operations'!F42</x:f>
        <x:v>13872120</x:v>
      </x:c>
      <x:c r="G11" s="1"/>
      <x:c r="H11" s="1"/>
      <x:c r="I11" s="1" t="str">
        <x:v>M4</x:v>
      </x:c>
      <x:c r="J11" s="49" t="n">
        <x:f>'Cash flow'!H17/1000000</x:f>
        <x:v>-12.857378296208843</x:v>
      </x:c>
      <x:c r="K11" s="49" t="n">
        <x:f>'Cash flow'!H26/1000000</x:f>
        <x:v>177.77777777777777</x:v>
      </x:c>
      <x:c r="L11" s="1"/>
      <x:c r="M11" s="1"/>
      <x:c r="N11" s="1"/>
      <x:c r="O11" s="1"/>
      <x:c r="P11" s="1"/>
    </x:row>
    <x:row r="12" ht="22" customHeight="1">
      <x:c r="A12" s="1"/>
      <x:c r="B12" s="1"/>
      <x:c r="C12" s="1" t="str">
        <x:v>Cash surplus after tax provision and reserve</x:v>
      </x:c>
      <x:c r="D12" s="1" t="str">
        <x:v>IDR m</x:v>
      </x:c>
      <x:c r="E12" s="46" t="n">
        <x:f>'Operations'!E47</x:f>
        <x:v>3306929.0928907115</x:v>
      </x:c>
      <x:c r="F12" s="46" t="n">
        <x:f>'Operations'!F47</x:f>
        <x:v>2166649.3090909068</x:v>
      </x:c>
      <x:c r="G12" s="1"/>
      <x:c r="H12" s="1"/>
      <x:c r="I12" s="1" t="str">
        <x:v>M5</x:v>
      </x:c>
      <x:c r="J12" s="49" t="n">
        <x:f>'Cash flow'!I17/1000000</x:f>
        <x:v>-1.2713234552399517</x:v>
      </x:c>
      <x:c r="K12" s="49" t="n">
        <x:f>'Cash flow'!I26/1000000</x:f>
        <x:v>222.2222222222222</x:v>
      </x:c>
      <x:c r="L12" s="1"/>
      <x:c r="M12" s="1"/>
      <x:c r="N12" s="1"/>
      <x:c r="O12" s="1"/>
      <x:c r="P12" s="1"/>
    </x:row>
    <x:row r="13" ht="22" customHeight="1">
      <x:c r="A13" s="1"/>
      <x:c r="B13" s="1"/>
      <x:c r="C13" s="1"/>
      <x:c r="D13" s="1"/>
      <x:c r="E13" s="1"/>
      <x:c r="F13" s="1"/>
      <x:c r="G13" s="1"/>
      <x:c r="H13" s="1"/>
      <x:c r="I13" s="1" t="str">
        <x:v>M6</x:v>
      </x:c>
      <x:c r="J13" s="49" t="n">
        <x:f>'Cash flow'!J17/1000000</x:f>
        <x:v>3.3069290928907114</x:v>
      </x:c>
      <x:c r="K13" s="49" t="n">
        <x:f>'Cash flow'!J26/1000000</x:f>
        <x:v>266.66666666666663</x:v>
      </x:c>
      <x:c r="L13" s="1"/>
      <x:c r="M13" s="1"/>
      <x:c r="N13" s="1"/>
      <x:c r="O13" s="1"/>
      <x:c r="P13" s="1"/>
    </x:row>
    <x:row r="14" ht="22" customHeight="1">
      <x:c r="A14" s="1"/>
      <x:c r="B14" s="1"/>
      <x:c r="C14" s="1" t="str">
        <x:v>Break-even orders per active day/night</x:v>
      </x:c>
      <x:c r="D14" s="1" t="str">
        <x:v>orders</x:v>
      </x:c>
      <x:c r="E14" s="49" t="n">
        <x:f>'Operations'!E49</x:f>
        <x:v>72.25554595067926</x:v>
      </x:c>
      <x:c r="F14" s="49" t="n">
        <x:f>'Operations'!F49</x:f>
        <x:v>33.47733832657576</x:v>
      </x:c>
      <x:c r="G14" s="1"/>
      <x:c r="H14" s="1"/>
      <x:c r="I14" s="1" t="str">
        <x:v>M7</x:v>
      </x:c>
      <x:c r="J14" s="49" t="n">
        <x:f>'Cash flow'!K17/1000000</x:f>
        <x:v>3.3069290928907114</x:v>
      </x:c>
      <x:c r="K14" s="49" t="n">
        <x:f>'Cash flow'!K26/1000000</x:f>
        <x:v>311.1111111111111</x:v>
      </x:c>
      <x:c r="L14" s="1"/>
      <x:c r="M14" s="1"/>
      <x:c r="N14" s="1"/>
      <x:c r="O14" s="1"/>
      <x:c r="P14" s="1"/>
    </x:row>
    <x:row r="15" ht="22" customHeight="1">
      <x:c r="A15" s="1"/>
      <x:c r="B15" s="1"/>
      <x:c r="C15" s="1" t="str">
        <x:v>Orders for illustrative Rp25m/month target</x:v>
      </x:c>
      <x:c r="D15" s="1" t="str">
        <x:v>orders</x:v>
      </x:c>
      <x:c r="E15" s="49" t="n">
        <x:f>'Operations'!E50</x:f>
        <x:v>93.00329992596713</x:v>
      </x:c>
      <x:c r="F15" s="49" t="n">
        <x:f>'Operations'!F50</x:f>
        <x:v>108.73942211254213</x:v>
      </x:c>
      <x:c r="G15" s="1"/>
      <x:c r="H15" s="1"/>
      <x:c r="I15" s="1" t="str">
        <x:v>M8</x:v>
      </x:c>
      <x:c r="J15" s="49" t="n">
        <x:f>'Cash flow'!L17/1000000</x:f>
        <x:v>3.3069290928907114</x:v>
      </x:c>
      <x:c r="K15" s="49" t="n">
        <x:f>'Cash flow'!L26/1000000</x:f>
        <x:v>355.55555555555554</x:v>
      </x:c>
      <x:c r="L15" s="1"/>
      <x:c r="M15" s="1"/>
      <x:c r="N15" s="1"/>
      <x:c r="O15" s="1"/>
      <x:c r="P15" s="1"/>
    </x:row>
    <x:row r="16" ht="22" customHeight="1">
      <x:c r="A16" s="1"/>
      <x:c r="B16" s="1"/>
      <x:c r="C16" s="1"/>
      <x:c r="D16" s="1"/>
      <x:c r="E16" s="1"/>
      <x:c r="F16" s="1"/>
      <x:c r="G16" s="1"/>
      <x:c r="H16" s="1"/>
      <x:c r="I16" s="1" t="str">
        <x:v>M9</x:v>
      </x:c>
      <x:c r="J16" s="49" t="n">
        <x:f>'Cash flow'!M17/1000000</x:f>
        <x:v>3.3069290928907114</x:v>
      </x:c>
      <x:c r="K16" s="49" t="n">
        <x:f>'Cash flow'!M26/1000000</x:f>
        <x:v>399.99999999999994</x:v>
      </x:c>
      <x:c r="L16" s="1"/>
      <x:c r="M16" s="1"/>
      <x:c r="N16" s="1"/>
      <x:c r="O16" s="1"/>
      <x:c r="P16" s="1"/>
    </x:row>
    <x:row r="17" ht="22" customHeight="1">
      <x:c r="A17" s="1"/>
      <x:c r="B17" s="1"/>
      <x:c r="C17" s="1" t="str">
        <x:v>Fit-out and equipment incl. contingency</x:v>
      </x:c>
      <x:c r="D17" s="1" t="str">
        <x:v>IDR m</x:v>
      </x:c>
      <x:c r="E17" s="46" t="n">
        <x:f>'Operations'!E61</x:f>
        <x:v>345000000</x:v>
      </x:c>
      <x:c r="F17" s="46" t="n">
        <x:f>'Operations'!F61</x:f>
        <x:v>15000000</x:v>
      </x:c>
      <x:c r="G17" s="1"/>
      <x:c r="H17" s="1"/>
      <x:c r="I17" s="1" t="str">
        <x:v>M10</x:v>
      </x:c>
      <x:c r="J17" s="49" t="n">
        <x:f>'Cash flow'!N17/1000000</x:f>
        <x:v>3.3069290928907114</x:v>
      </x:c>
      <x:c r="K17" s="49" t="n">
        <x:f>'Cash flow'!N26/1000000</x:f>
        <x:v>444.44444444444434</x:v>
      </x:c>
      <x:c r="L17" s="1"/>
      <x:c r="M17" s="1"/>
      <x:c r="N17" s="1"/>
      <x:c r="O17" s="1"/>
      <x:c r="P17" s="1"/>
    </x:row>
    <x:row r="18" ht="22" customHeight="1">
      <x:c r="A18" s="1"/>
      <x:c r="B18" s="1"/>
      <x:c r="C18" s="1" t="str">
        <x:v>Prepaid operating rent</x:v>
      </x:c>
      <x:c r="D18" s="1" t="str">
        <x:v>IDR m</x:v>
      </x:c>
      <x:c r="E18" s="46" t="n">
        <x:f>'Operations'!E62</x:f>
        <x:v>533333333.33333325</x:v>
      </x:c>
      <x:c r="F18" s="46" t="n">
        <x:f>'Operations'!F62</x:f>
        <x:v>0</x:v>
      </x:c>
      <x:c r="G18" s="1"/>
      <x:c r="H18" s="1"/>
      <x:c r="I18" s="1" t="str">
        <x:v>M11</x:v>
      </x:c>
      <x:c r="J18" s="49" t="n">
        <x:f>'Cash flow'!O17/1000000</x:f>
        <x:v>3.3069290928907114</x:v>
      </x:c>
      <x:c r="K18" s="49" t="n">
        <x:f>'Cash flow'!O26/1000000</x:f>
        <x:v>488.8888888888888</x:v>
      </x:c>
      <x:c r="L18" s="1"/>
      <x:c r="M18" s="1"/>
      <x:c r="N18" s="1"/>
      <x:c r="O18" s="1"/>
      <x:c r="P18" s="1"/>
    </x:row>
    <x:row r="19" ht="22" customHeight="1">
      <x:c r="A19" s="1"/>
      <x:c r="B19" s="1"/>
      <x:c r="C19" s="1" t="str">
        <x:v>Unrestricted opening cash reserve</x:v>
      </x:c>
      <x:c r="D19" s="1" t="str">
        <x:v>IDR m</x:v>
      </x:c>
      <x:c r="E19" s="46" t="n">
        <x:f>'Operations'!E66</x:f>
        <x:v>197683200</x:v>
      </x:c>
      <x:c r="F19" s="46" t="n">
        <x:f>'Operations'!F66</x:f>
        <x:v>41616360</x:v>
      </x:c>
      <x:c r="G19" s="1"/>
      <x:c r="H19" s="1"/>
      <x:c r="I19" s="1" t="str">
        <x:v>M12</x:v>
      </x:c>
      <x:c r="J19" s="49" t="n">
        <x:f>'Cash flow'!P17/1000000</x:f>
        <x:v>3.3069290928907114</x:v>
      </x:c>
      <x:c r="K19" s="49" t="n">
        <x:f>'Cash flow'!P26/1000000</x:f>
        <x:v>533.3333333333331</x:v>
      </x:c>
      <x:c r="L19" s="1"/>
      <x:c r="M19" s="1"/>
      <x:c r="N19" s="1"/>
      <x:c r="O19" s="1"/>
      <x:c r="P19" s="1"/>
    </x:row>
    <x:row r="20" ht="22" customHeight="1">
      <x:c r="A20" s="1"/>
      <x:c r="B20" s="1"/>
      <x:c r="C20" s="1" t="str">
        <x:v>Total opening funding</x:v>
      </x:c>
      <x:c r="D20" s="1" t="str">
        <x:v>IDR m</x:v>
      </x:c>
      <x:c r="E20" s="46" t="n">
        <x:f>'Operations'!E67</x:f>
        <x:v>1116016533.3333333</x:v>
      </x:c>
      <x:c r="F20" s="46" t="n">
        <x:f>'Operations'!F67</x:f>
        <x:v>56616360</x:v>
      </x:c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 ht="22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22" customHeight="1">
      <x:c r="A22" s="1"/>
      <x:c r="B22" s="1"/>
      <x:c r="C22" s="1" t="str">
        <x:v>Simple funding recovery at steady surplus</x:v>
      </x:c>
      <x:c r="D22" s="1" t="str">
        <x:v>months</x:v>
      </x:c>
      <x:c r="E22" s="49" t="n">
        <x:f>'Operations'!E69</x:f>
        <x:v>337.4782167941137</x:v>
      </x:c>
      <x:c r="F22" s="49" t="n">
        <x:f>'Operations'!F69</x:f>
        <x:v>26.130837031376974</x:v>
      </x:c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 ht="22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22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25" customHeight="1">
      <x:c r="A25" s="1"/>
      <x:c r="B25" s="1"/>
      <x:c r="C25" s="13" t="str">
        <x:v>First 12 operating months</x:v>
      </x:c>
      <x:c r="D25" s="13"/>
      <x:c r="E25" s="13"/>
      <x:c r="F25" s="13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22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 ht="22" customHeight="1">
      <x:c r="A27" s="1"/>
      <x:c r="B27" s="1"/>
      <x:c r="C27" s="1" t="str">
        <x:v>Combined forecast: night enabled?</x:v>
      </x:c>
      <x:c r="D27" s="1"/>
      <x:c r="E27" s="1" t="n">
        <x:f>'Inputs'!$E$16</x:f>
        <x:v>0</x:v>
      </x:c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22" customHeight="1">
      <x:c r="A28" s="1"/>
      <x:c r="B28" s="1"/>
      <x:c r="C28" s="1" t="str">
        <x:v>Economic cash surplus (IDR m)</x:v>
      </x:c>
      <x:c r="D28" s="1"/>
      <x:c r="E28" s="46" t="n">
        <x:f>SUM('Cash flow'!E17:P17)</x:f>
        <x:v>-116447744.29710707</x:v>
      </x:c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2" customHeight="1">
      <x:c r="A29" s="1"/>
      <x:c r="B29" s="1"/>
      <x:c r="C29" s="1" t="str">
        <x:v>Unrestricted cash at month 12 (IDR m)</x:v>
      </x:c>
      <x:c r="D29" s="1"/>
      <x:c r="E29" s="46" t="n">
        <x:f>'Cash flow'!P27</x:f>
        <x:v>81235455.70289308</x:v>
      </x:c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 ht="22" customHeight="1">
      <x:c r="A30" s="1"/>
      <x:c r="B30" s="1"/>
      <x:c r="C30" s="1" t="str">
        <x:v>Ramp-adjusted funding recovery (months)</x:v>
      </x:c>
      <x:c r="D30" s="1"/>
      <x:c r="E30" s="49" t="n">
        <x:f>IF('Operations'!G47&lt;=0,"n.a.",12+MAX(0,'Operations'!G67-E28)/'Operations'!G47)</x:f>
        <x:v>384.6914738752674</x:v>
      </x:c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22" customHeight="1">
      <x:c r="A31" s="1"/>
      <x:c r="B31" s="1"/>
      <x:c r="C31" s="1" t="str">
        <x:v>Additional funding above starting reserve (IDR m)</x:v>
      </x:c>
      <x:c r="D31" s="1"/>
      <x:c r="E31" s="46" t="n">
        <x:f>MAX('Cash flow'!E29:P29)</x:f>
        <x:v>0</x:v>
      </x:c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 ht="22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22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22" customHeight="1">
      <x:c r="A34" s="1"/>
      <x:c r="B34" s="1"/>
      <x:c r="C34" s="1" t="str">
        <x:v>Recommendation: renegotiate and pilot before signing.</x:v>
      </x:c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22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2" customHeight="1">
      <x:c r="A36" s="1"/>
      <x:c r="B36" s="1"/>
      <x:c r="C36" s="1" t="str">
        <x:v>Change the case only in Inputs!E4. Amber/blue cells are editable.</x:v>
      </x:c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2" customHeight="1">
      <x:c r="A37" s="1"/>
      <x:c r="B37" s="1"/>
      <x:c r="C37" s="1" t="str">
        <x:v>All demand, margins and capex remain unvalidated assumptions.</x:v>
      </x:c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22" customHeight="1">
      <x:c r="A38" s="1"/>
      <x:c r="B38" s="1"/>
      <x:c r="C38" s="1" t="str">
        <x:v>Night results are hypothetical; default cash forecast excludes them.</x:v>
      </x:c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22" customHeight="1">
      <x:c r="A39" s="1"/>
      <x:c r="B39" s="1"/>
      <x:c r="C39" s="1" t="str">
        <x:v>Zero rental VAT and deposit are unresolved exclusions.</x:v>
      </x:c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22" customHeight="1">
      <x:c r="A40" s="1"/>
      <x:c r="B40" s="1"/>
      <x:c r="C40" s="1" t="str">
        <x:v>22% income-tax provision is prudent cash retention, not a tax return.</x:v>
      </x:c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 ht="22" customHeight="1">
      <x:c r="A41" s="1"/>
      <x:c r="B41" s="1"/>
      <x:c r="C41" s="1" t="str">
        <x:v>The report compares separately recalculated cases as at 18 Oct 2026.</x:v>
      </x:c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22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22" customHeight="1">
      <x:c r="A43" s="1"/>
      <x:c r="B43" s="1"/>
      <x:c r="C43" s="1" t="str">
        <x:v>Menu costing: enter supplier quotes. Baskets: edit purchase shares.</x:v>
      </x:c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22" customHeight="1">
      <x:c r="A44" s="1"/>
      <x:c r="B44" s="1"/>
      <x:c r="C44" s="1" t="str">
        <x:v>Sandwiches Rp75–150k. Beverage average assumes Rp50k.</x:v>
      </x:c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22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 ht="22" customHeight="1">
      <x:c r="A46" s="1"/>
      <x:c r="B46" s="1"/>
      <x:c r="C46" s="1" t="str">
        <x:v>Average customer menu ticket (IDR)</x:v>
      </x:c>
      <x:c r="D46" s="1"/>
      <x:c r="E46" s="24" t="n">
        <x:f>'Operations'!E76</x:f>
        <x:v>109128.1</x:v>
      </x:c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 ht="22" customHeight="1">
      <x:c r="A47" s="1"/>
      <x:c r="B47" s="1"/>
      <x:c r="C47" s="1" t="str">
        <x:v>Operating break-even before tax/reserve (orders/day)</x:v>
      </x:c>
      <x:c r="D47" s="1"/>
      <x:c r="E47" s="49" t="n">
        <x:f>'Operations'!E75</x:f>
        <x:v>71.42563579166774</x:v>
      </x:c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 ht="22" customHeight="1">
      <x:c r="A48" s="1"/>
      <x:c r="B48" s="1"/>
      <x:c r="C48" s="1" t="str">
        <x:v>Direct takeaway contribution / transaction (IDR)</x:v>
      </x:c>
      <x:c r="D48" s="1"/>
      <x:c r="E48" s="24" t="n">
        <x:f>'Operations'!E77</x:f>
        <x:v>51862.77846225412</x:v>
      </x:c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22" customHeight="1">
      <x:c r="A49" s="1"/>
      <x:c r="B49" s="1"/>
      <x:c r="C49" s="1" t="str">
        <x:v>Delivery contribution / transaction (IDR)</x:v>
      </x:c>
      <x:c r="D49" s="1"/>
      <x:c r="E49" s="24" t="n">
        <x:f>'Operations'!E78</x:f>
        <x:v>44235.994766746386</x:v>
      </x:c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22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  <x:row r="51" ht="22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</x:row>
    <x:row r="52" ht="22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</x:row>
    <x:row r="53" ht="22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</x:row>
    <x:row r="54" ht="22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</x:row>
    <x:row r="55" ht="22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</x:row>
    <x:row r="56" ht="22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</x:row>
    <x:row r="57" ht="22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</x:row>
    <x:row r="58" ht="22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</x:row>
    <x:row r="59" ht="22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</x:row>
    <x:row r="60" ht="22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</x:row>
    <x:row r="61" ht="22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</x:row>
    <x:row r="62" ht="22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</x:row>
    <x:row r="63" ht="22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</x:row>
    <x:row r="64" ht="22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</x:row>
    <x:row r="65" ht="22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</x:row>
    <x:row r="66" ht="22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</x:row>
    <x:row r="67" ht="22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</x:row>
    <x:row r="68" ht="22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</x:row>
    <x:row r="69" ht="22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</x:row>
    <x:row r="70" ht="22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</x:row>
    <x:row r="71" ht="22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</x:row>
    <x:row r="72" ht="22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</x:row>
    <x:row r="73" ht="22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</x:row>
    <x:row r="74" ht="22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</x:row>
    <x:row r="75" ht="22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</x:row>
    <x:row r="76" ht="22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</x:row>
    <x:row r="77" ht="22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</x:row>
    <x:row r="78" ht="22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</x:row>
    <x:row r="79" ht="22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</x:row>
    <x:row r="80" ht="22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</x:row>
    <x:row r="81" ht="22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</x:row>
    <x:row r="82" ht="22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</x:row>
    <x:row r="83" ht="22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</x:row>
    <x:row r="84" ht="22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</x:row>
    <x:row r="85" ht="22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</x:row>
    <x:row r="86" ht="22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</x:row>
    <x:row r="87" ht="22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</x:row>
    <x:row r="88" ht="22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</x:row>
    <x:row r="89" ht="22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</x:row>
    <x:row r="90" ht="22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</x:row>
    <x:row r="91" ht="22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</x:row>
    <x:row r="92" ht="22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</x:row>
    <x:row r="93" ht="22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</x:row>
    <x:row r="94" ht="22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</x:row>
    <x:row r="95" ht="22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</x:row>
    <x:row r="96" ht="22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</x:row>
    <x:row r="97" ht="22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</x:row>
    <x:row r="98" ht="22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</x:row>
    <x:row r="99" ht="22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</x:row>
    <x:row r="100" ht="22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</x:row>
    <x:row r="101" ht="22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</x:row>
    <x:row r="102" ht="22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</x:row>
    <x:row r="103" ht="22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</x:row>
    <x:row r="104" ht="22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</x:row>
    <x:row r="105" ht="22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</x:row>
    <x:row r="106" ht="22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</x:row>
    <x:row r="107" ht="22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</x:row>
    <x:row r="108" ht="22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</x:row>
    <x:row r="109" ht="22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</x:row>
    <x:row r="110" ht="22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</x:row>
    <x:row r="111" ht="22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</x:row>
    <x:row r="112" ht="22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</x:row>
    <x:row r="113" ht="22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</x:row>
    <x:row r="114" ht="22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</x:row>
    <x:row r="115" ht="22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</x:row>
    <x:row r="116" ht="22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</x:row>
    <x:row r="117" ht="22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</x:row>
    <x:row r="118" ht="22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</x:row>
    <x:row r="119" ht="22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</x:row>
    <x:row r="120" ht="22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</x:row>
    <x:row r="121" ht="22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</x:row>
    <x:row r="122" ht="22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</x:row>
    <x:row r="123" ht="22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</x:row>
    <x:row r="124" ht="22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</x:row>
    <x:row r="125" ht="22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</x:row>
    <x:row r="126" ht="22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</x:row>
    <x:row r="127" ht="22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</x:row>
    <x:row r="128" ht="22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</x:row>
    <x:row r="129" ht="22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</x:row>
    <x:row r="130" ht="22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</x:row>
    <x:row r="131" ht="22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</x:row>
    <x:row r="132" ht="22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</x:row>
    <x:row r="133" ht="22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</x:row>
    <x:row r="134" ht="22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</x:row>
    <x:row r="135" ht="22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</x:row>
    <x:row r="136" ht="22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</x:row>
    <x:row r="137" ht="22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</x:row>
    <x:row r="138" ht="22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</x:row>
    <x:row r="139" ht="22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</x:row>
    <x:row r="140" ht="22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</x:row>
    <x:row r="141" ht="22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</x:row>
    <x:row r="142" ht="22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</x:row>
    <x:row r="143" ht="22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</x:row>
    <x:row r="144" ht="22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</x:row>
    <x:row r="145" ht="22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</x:row>
    <x:row r="146" ht="22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</x:row>
    <x:row r="147" ht="22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</x:row>
    <x:row r="148" ht="22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</x:row>
    <x:row r="149" ht="22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</x:row>
    <x:row r="150" ht="22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</x:row>
    <x:row r="151" ht="22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</x:row>
    <x:row r="152" ht="22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</x:row>
    <x:row r="153" ht="22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</x:row>
    <x:row r="154" ht="22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</x:row>
    <x:row r="155" ht="22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</x:row>
    <x:row r="156" ht="22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</x:row>
    <x:row r="157" ht="22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</x:row>
    <x:row r="158" ht="22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</x:row>
    <x:row r="159" ht="22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</x:row>
    <x:row r="160" ht="22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</x:row>
    <x:row r="161" ht="22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</x:row>
    <x:row r="162" ht="22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</x:row>
    <x:row r="163" ht="22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</x:row>
    <x:row r="164" ht="22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</x:row>
    <x:row r="165" ht="22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</x:row>
    <x:row r="166" ht="22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</x:row>
    <x:row r="167" ht="22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</x:row>
    <x:row r="168" ht="22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</x:row>
    <x:row r="169" ht="22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</x:row>
    <x:row r="170" ht="22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</x:row>
    <x:row r="171" ht="22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</x:row>
    <x:row r="172" ht="22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</x:row>
    <x:row r="173" ht="22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</x:row>
    <x:row r="174" ht="22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</x:row>
    <x:row r="175" ht="22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</x:row>
    <x:row r="176" ht="22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</x:row>
    <x:row r="177" ht="22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</x:row>
    <x:row r="178" ht="22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</x:row>
    <x:row r="179" ht="22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</x:row>
    <x:row r="180" ht="22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</x:row>
    <x:row r="181" ht="22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</x:row>
    <x:row r="182" ht="22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</x:row>
    <x:row r="183" ht="22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</x:row>
    <x:row r="184" ht="22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</x:row>
    <x:row r="185" ht="22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</x:row>
    <x:row r="186" ht="22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</x:row>
    <x:row r="187" ht="22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</x:row>
    <x:row r="188" ht="22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</x:row>
    <x:row r="189" ht="22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</x:row>
    <x:row r="190" ht="22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</x:row>
  </x:sheetData>
  <x:conditionalFormatting sqref="E8:G72">
    <x:cfRule type="cellIs" dxfId="0" priority="1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9962f8345c0749c2"/>
</x:worksheet>
</file>

<file path=xl/worksheets/sheet2.xml><?xml version="1.0" encoding="utf-8"?>
<x:worksheet xmlns:x="http://schemas.openxmlformats.org/spreadsheetml/2006/main">
  <x:sheetPr>
    <x:tabColor rgb="FF60758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2" hidden="0" customWidth="1"/>
    <x:col min="4" max="4" width="16" hidden="0" customWidth="1"/>
    <x:col min="5" max="5" width="18" hidden="0" customWidth="1"/>
    <x:col min="6" max="6" width="23" hidden="0" customWidth="1"/>
    <x:col min="7" max="7" width="18" hidden="0" customWidth="1"/>
    <x:col min="8" max="8" width="3" hidden="0" customWidth="1"/>
    <x:col min="9" max="9" width="70" hidden="0" customWidth="1"/>
    <x:col min="10" max="10" width="35" hidden="0" customWidth="1"/>
    <x:col min="11" max="11" width="100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2" customHeight="1">
      <x:c r="A2" s="1"/>
      <x:c r="B2" s="1"/>
      <x:c r="C2" s="2" t="str">
        <x:v>Maya Berawa · Inputs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2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2" customHeight="1">
      <x:c r="A4" s="1"/>
      <x:c r="B4" s="1"/>
      <x:c r="C4" s="1" t="str">
        <x:v>Case selected</x:v>
      </x:c>
      <x:c r="D4" s="1"/>
      <x:c r="E4" s="5" t="n">
        <x:v>2</x:v>
      </x:c>
      <x:c r="F4" s="1"/>
      <x:c r="G4" s="7" t="str">
        <x:f>CHOOSE(E4,"Downside","Base","Upside")</x:f>
        <x:v>Base</x:v>
      </x:c>
      <x:c r="H4" s="1"/>
      <x:c r="I4" s="1"/>
      <x:c r="J4" s="1"/>
      <x:c r="K4" s="1"/>
      <x:c r="L4" s="1"/>
      <x:c r="M4" s="1"/>
      <x:c r="N4" s="1"/>
      <x:c r="O4" s="1"/>
      <x:c r="P4" s="1"/>
    </x:row>
    <x:row r="5" ht="22" customHeight="1">
      <x:c r="A5" s="1"/>
      <x:c r="B5" s="1"/>
      <x:c r="C5" s="1" t="str">
        <x:v>1 downside / 2 base / 3 upside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22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22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34" customHeight="1">
      <x:c r="A8" s="1"/>
      <x:c r="B8" s="1"/>
      <x:c r="C8" s="1" t="str">
        <x:v>Quoted monthly rent</x:v>
      </x:c>
      <x:c r="D8" s="1"/>
      <x:c r="E8" s="10" t="n">
        <x:v>40000000</x:v>
      </x:c>
      <x:c r="F8" s="1" t="str">
        <x:v>IDR</x:v>
      </x:c>
      <x:c r="G8" s="1"/>
      <x:c r="H8" s="1"/>
      <x:c r="I8" s="26" t="str">
        <x:v>Rent only; unsigned; negotiable; excludes unspecified tax</x:v>
      </x:c>
      <x:c r="J8" s="26"/>
      <x:c r="K8" s="26" t="str">
        <x:v>Owner confirmation, 18 Oct 2026</x:v>
      </x:c>
      <x:c r="L8" s="1"/>
      <x:c r="M8" s="1"/>
      <x:c r="N8" s="1"/>
      <x:c r="O8" s="1"/>
      <x:c r="P8" s="1"/>
    </x:row>
    <x:row r="9" ht="34" customHeight="1">
      <x:c r="A9" s="1"/>
      <x:c r="B9" s="1"/>
      <x:c r="C9" s="1" t="str">
        <x:v>Landlord receives net rent? 1=yes</x:v>
      </x:c>
      <x:c r="D9" s="1"/>
      <x:c r="E9" s="10" t="n">
        <x:v>1</x:v>
      </x:c>
      <x:c r="F9" s="1" t="str">
        <x:v>0 or 1</x:v>
      </x:c>
      <x:c r="G9" s="1"/>
      <x:c r="H9" s="1"/>
      <x:c r="I9" s="26" t="str">
        <x:v>Prudent assumption. Set 0 if quote is gross and withholding is deducted.</x:v>
      </x:c>
      <x:c r="J9" s="26"/>
      <x:c r="K9" s="26" t="str">
        <x:v>Planning assumption, 18 Oct 2026; replace with quote or pilot evidence</x:v>
      </x:c>
      <x:c r="L9" s="1"/>
      <x:c r="M9" s="1"/>
      <x:c r="N9" s="1"/>
      <x:c r="O9" s="1"/>
      <x:c r="P9" s="1"/>
    </x:row>
    <x:row r="10" ht="34" customHeight="1">
      <x:c r="A10" s="1"/>
      <x:c r="B10" s="1"/>
      <x:c r="C10" s="1" t="str">
        <x:v>Rental withholding rate</x:v>
      </x:c>
      <x:c r="D10" s="1"/>
      <x:c r="E10" s="11" t="n">
        <x:v>0.1</x:v>
      </x:c>
      <x:c r="F10" s="1" t="str">
        <x:v>rate</x:v>
      </x:c>
      <x:c r="G10" s="1"/>
      <x:c r="H10" s="1"/>
      <x:c r="I10" s="26" t="str">
        <x:v>Gross-up only if agreed net of landlord income tax.</x:v>
      </x:c>
      <x:c r="J10" s="26"/>
      <x:c r="K10" s="26" t="str">
        <x:v>DJP: https://www.pajak.go.id/index.php/en/node/34297</x:v>
      </x:c>
      <x:c r="L10" s="1"/>
      <x:c r="M10" s="1"/>
      <x:c r="N10" s="1"/>
      <x:c r="O10" s="1"/>
      <x:c r="P10" s="1"/>
    </x:row>
    <x:row r="11" ht="34" customHeight="1">
      <x:c r="A11" s="1"/>
      <x:c r="B11" s="1"/>
      <x:c r="C11" s="1" t="str">
        <x:v>Unrecoverable rental VAT rate</x:v>
      </x:c>
      <x:c r="D11" s="1"/>
      <x:c r="E11" s="11" t="n">
        <x:v>0</x:v>
      </x:c>
      <x:c r="F11" s="1" t="str">
        <x:v>rate</x:v>
      </x:c>
      <x:c r="G11" s="1"/>
      <x:c r="H11" s="1"/>
      <x:c r="I11" s="26" t="str">
        <x:v>UNKNOWN. Zero is a lower-bound assumption; test 11% if invoiced. Not confirmed exemption.</x:v>
      </x:c>
      <x:c r="J11" s="26"/>
      <x:c r="K11" s="26" t="str">
        <x:v>Planning assumption, 18 Oct 2026; replace with quote or pilot evidence</x:v>
      </x:c>
      <x:c r="L11" s="1"/>
      <x:c r="M11" s="1"/>
      <x:c r="N11" s="1"/>
      <x:c r="O11" s="1"/>
      <x:c r="P11" s="1"/>
    </x:row>
    <x:row r="12" ht="34" customHeight="1">
      <x:c r="A12" s="1"/>
      <x:c r="B12" s="1"/>
      <x:c r="C12" s="1" t="str">
        <x:v>Rent paid before opening</x:v>
      </x:c>
      <x:c r="D12" s="1"/>
      <x:c r="E12" s="10" t="n">
        <x:v>12</x:v>
      </x:c>
      <x:c r="F12" s="1" t="str">
        <x:v>months</x:v>
      </x:c>
      <x:c r="G12" s="1"/>
      <x:c r="H12" s="1"/>
      <x:c r="I12" s="26" t="str">
        <x:v>Owner says at least one year upfront. Model assumes usable operating year.</x:v>
      </x:c>
      <x:c r="J12" s="26"/>
      <x:c r="K12" s="26" t="str">
        <x:v>Owner confirmation, 18 Oct 2026</x:v>
      </x:c>
      <x:c r="L12" s="1"/>
      <x:c r="M12" s="1"/>
      <x:c r="N12" s="1"/>
      <x:c r="O12" s="1"/>
      <x:c r="P12" s="1"/>
    </x:row>
    <x:row r="13" ht="34" customHeight="1">
      <x:c r="A13" s="1"/>
      <x:c r="B13" s="1"/>
      <x:c r="C13" s="1" t="str">
        <x:v>Refundable rent deposit</x:v>
      </x:c>
      <x:c r="D13" s="1"/>
      <x:c r="E13" s="10" t="n">
        <x:v>0</x:v>
      </x:c>
      <x:c r="F13" s="1" t="str">
        <x:v>IDR</x:v>
      </x:c>
      <x:c r="G13" s="1"/>
      <x:c r="H13" s="1"/>
      <x:c r="I13" s="26" t="str">
        <x:v>UNKNOWN and excluded. Add actual deposit; test Rp40m separately.</x:v>
      </x:c>
      <x:c r="J13" s="26"/>
      <x:c r="K13" s="26" t="str">
        <x:v>Planning assumption, 18 Oct 2026; replace with quote or pilot evidence</x:v>
      </x:c>
      <x:c r="L13" s="1"/>
      <x:c r="M13" s="1"/>
      <x:c r="N13" s="1"/>
      <x:c r="O13" s="1"/>
      <x:c r="P13" s="1"/>
    </x:row>
    <x:row r="14" ht="34" customHeight="1">
      <x:c r="A14" s="1"/>
      <x:c r="B14" s="1"/>
      <x:c r="C14" s="1" t="str">
        <x:v>Day trading days per standard month</x:v>
      </x:c>
      <x:c r="D14" s="1"/>
      <x:c r="E14" s="10" t="n">
        <x:v>30</x:v>
      </x:c>
      <x:c r="F14" s="1" t="str">
        <x:v>days</x:v>
      </x:c>
      <x:c r="G14" s="1"/>
      <x:c r="H14" s="1"/>
      <x:c r="I14" s="26" t="str">
        <x:v>Standard 30-day month; no calendar opening date supplied.</x:v>
      </x:c>
      <x:c r="J14" s="26"/>
      <x:c r="K14" s="26" t="str">
        <x:v>Planning assumption, 18 Oct 2026; replace with quote or pilot evidence</x:v>
      </x:c>
      <x:c r="L14" s="1"/>
      <x:c r="M14" s="1"/>
      <x:c r="N14" s="1"/>
      <x:c r="O14" s="1"/>
      <x:c r="P14" s="1"/>
    </x:row>
    <x:row r="15" ht="34" customHeight="1">
      <x:c r="A15" s="1"/>
      <x:c r="B15" s="1"/>
      <x:c r="C15" s="1" t="str">
        <x:v>Night trading nights per month</x:v>
      </x:c>
      <x:c r="D15" s="1"/>
      <x:c r="E15" s="10" t="n">
        <x:v>13</x:v>
      </x:c>
      <x:c r="F15" s="1" t="str">
        <x:v>nights</x:v>
      </x:c>
      <x:c r="G15" s="1"/>
      <x:c r="H15" s="1"/>
      <x:c r="I15" s="26" t="str">
        <x:v>Pilot option, roughly 3 nights/week; not permission or demand evidence.</x:v>
      </x:c>
      <x:c r="J15" s="26"/>
      <x:c r="K15" s="26" t="str">
        <x:v>Planning assumption, 18 Oct 2026; replace with quote or pilot evidence</x:v>
      </x:c>
      <x:c r="L15" s="1"/>
      <x:c r="M15" s="1"/>
      <x:c r="N15" s="1"/>
      <x:c r="O15" s="1"/>
      <x:c r="P15" s="1"/>
    </x:row>
    <x:row r="16" ht="34" customHeight="1">
      <x:c r="A16" s="1"/>
      <x:c r="B16" s="1"/>
      <x:c r="C16" s="1" t="str">
        <x:v>Include night in cash forecast? 1=yes</x:v>
      </x:c>
      <x:c r="D16" s="1"/>
      <x:c r="E16" s="10" t="n">
        <x:v>0</x:v>
      </x:c>
      <x:c r="F16" s="1" t="str">
        <x:v>0 or 1</x:v>
      </x:c>
      <x:c r="G16" s="1"/>
      <x:c r="H16" s="1"/>
      <x:c r="I16" s="26" t="str">
        <x:v>Default OFF. Hypothetical night economics remain visible.</x:v>
      </x:c>
      <x:c r="J16" s="26"/>
      <x:c r="K16" s="26" t="str">
        <x:v>Planning assumption, 18 Oct 2026; replace with quote or pilot evidence</x:v>
      </x:c>
      <x:c r="L16" s="1"/>
      <x:c r="M16" s="1"/>
      <x:c r="N16" s="1"/>
      <x:c r="O16" s="1"/>
      <x:c r="P16" s="1"/>
    </x:row>
    <x:row r="17" ht="34" customHeight="1">
      <x:c r="A17" s="1"/>
      <x:c r="B17" s="1"/>
      <x:c r="C17" s="1" t="str">
        <x:v>Customer food/drink tax provision</x:v>
      </x:c>
      <x:c r="D17" s="1"/>
      <x:c r="E17" s="11" t="n">
        <x:v>0.1</x:v>
      </x:c>
      <x:c r="F17" s="1" t="str">
        <x:v>rate</x:v>
      </x:c>
      <x:c r="G17" s="1"/>
      <x:c r="H17" s="1"/>
      <x:c r="I17" s="26" t="str">
        <x:v>Customer tickets below include this. Confirm registration and tax base.</x:v>
      </x:c>
      <x:c r="J17" s="26"/>
      <x:c r="K17" s="26" t="str">
        <x:v>Badung Perda 7/2023 Art 28: https://bapenda.badungkab.go.id/storage/files/01.%20PERDA%20NO%207%20TAHUN%202023%20PAJAK%20DAERAH%20DAN%20RETBRUSI%20DAERAH.pdf</x:v>
      </x:c>
      <x:c r="L17" s="1"/>
      <x:c r="M17" s="1"/>
      <x:c r="N17" s="1"/>
      <x:c r="O17" s="1"/>
      <x:c r="P17" s="1"/>
    </x:row>
    <x:row r="18" ht="34" customHeight="1">
      <x:c r="A18" s="1"/>
      <x:c r="B18" s="1"/>
      <x:c r="C18" s="1" t="str">
        <x:v>Direct takeaway merchant discount</x:v>
      </x:c>
      <x:c r="D18" s="1"/>
      <x:c r="E18" s="11" t="n">
        <x:v>0.02</x:v>
      </x:c>
      <x:c r="F18" s="1" t="str">
        <x:v>rate</x:v>
      </x:c>
      <x:c r="G18" s="1"/>
      <x:c r="H18" s="1"/>
      <x:c r="I18" s="26" t="str">
        <x:v>Applies to ex-PBJT sales; cost recipes remain priced on undiscounted sales.</x:v>
      </x:c>
      <x:c r="J18" s="26"/>
      <x:c r="K18" s="26" t="str">
        <x:v>Planning assumption, 18 Oct 2026; replace with quote or pilot evidence</x:v>
      </x:c>
      <x:c r="L18" s="1"/>
      <x:c r="M18" s="1"/>
      <x:c r="N18" s="1"/>
      <x:c r="O18" s="1"/>
      <x:c r="P18" s="1"/>
    </x:row>
    <x:row r="19" ht="34" customHeight="1">
      <x:c r="A19" s="1"/>
      <x:c r="B19" s="1"/>
      <x:c r="C19" s="1" t="str">
        <x:v>Delivery merchant discount</x:v>
      </x:c>
      <x:c r="D19" s="1"/>
      <x:c r="E19" s="11" t="n">
        <x:v>0.07</x:v>
      </x:c>
      <x:c r="F19" s="1" t="str">
        <x:v>rate</x:v>
      </x:c>
      <x:c r="G19" s="1"/>
      <x:c r="H19" s="1"/>
      <x:c r="I19" s="26" t="str">
        <x:v>Does not assume platform funds the discount.</x:v>
      </x:c>
      <x:c r="J19" s="26"/>
      <x:c r="K19" s="26" t="str">
        <x:v>Planning assumption, 18 Oct 2026; replace with quote or pilot evidence</x:v>
      </x:c>
      <x:c r="L19" s="1"/>
      <x:c r="M19" s="1"/>
      <x:c r="N19" s="1"/>
      <x:c r="O19" s="1"/>
      <x:c r="P19" s="1"/>
    </x:row>
    <x:row r="20" ht="34" customHeight="1">
      <x:c r="A20" s="1"/>
      <x:c r="B20" s="1"/>
      <x:c r="C20" s="1" t="str">
        <x:v>Effective delivery fee</x:v>
      </x:c>
      <x:c r="D20" s="1"/>
      <x:c r="E20" s="11" t="n">
        <x:v>0.25</x:v>
      </x:c>
      <x:c r="F20" s="1" t="str">
        <x:v>rate</x:v>
      </x:c>
      <x:c r="G20" s="1"/>
      <x:c r="H20" s="1"/>
      <x:c r="I20" s="26" t="str">
        <x:v>Quote-dependent all-in effective cost on discounted ex-tax sales; stress 30%.</x:v>
      </x:c>
      <x:c r="J20" s="26"/>
      <x:c r="K20" s="26" t="str">
        <x:v>Planning assumption, 18 Oct 2026; replace with quote or pilot evidence</x:v>
      </x:c>
      <x:c r="L20" s="1"/>
      <x:c r="M20" s="1"/>
      <x:c r="N20" s="1"/>
      <x:c r="O20" s="1"/>
      <x:c r="P20" s="1"/>
    </x:row>
    <x:row r="21" ht="34" customHeight="1">
      <x:c r="A21" s="1"/>
      <x:c r="B21" s="1"/>
      <x:c r="C21" s="1" t="str">
        <x:v>Direct payment processing</x:v>
      </x:c>
      <x:c r="D21" s="1"/>
      <x:c r="E21" s="11" t="n">
        <x:v>0.01</x:v>
      </x:c>
      <x:c r="F21" s="1" t="str">
        <x:v>rate</x:v>
      </x:c>
      <x:c r="G21" s="1"/>
      <x:c r="H21" s="1"/>
      <x:c r="I21" s="26" t="str">
        <x:v>Blended direct cost assumption; excludes delivery to avoid double charging.</x:v>
      </x:c>
      <x:c r="J21" s="26"/>
      <x:c r="K21" s="26" t="str">
        <x:v>Planning assumption, 18 Oct 2026; replace with quote or pilot evidence</x:v>
      </x:c>
      <x:c r="L21" s="1"/>
      <x:c r="M21" s="1"/>
      <x:c r="N21" s="1"/>
      <x:c r="O21" s="1"/>
      <x:c r="P21" s="1"/>
    </x:row>
    <x:row r="22" ht="34" customHeight="1">
      <x:c r="A22" s="1"/>
      <x:c r="B22" s="1"/>
      <x:c r="C22" s="1" t="str">
        <x:v>Dine-in consumables per order</x:v>
      </x:c>
      <x:c r="D22" s="1"/>
      <x:c r="E22" s="10" t="n">
        <x:v>1000</x:v>
      </x:c>
      <x:c r="F22" s="1" t="str">
        <x:v>IDR</x:v>
      </x:c>
      <x:c r="G22" s="1"/>
      <x:c r="H22" s="1"/>
      <x:c r="I22" s="26" t="str">
        <x:v>Includes napkin and consumables.</x:v>
      </x:c>
      <x:c r="J22" s="26"/>
      <x:c r="K22" s="26" t="str">
        <x:v>Planning assumption, 18 Oct 2026; replace with quote or pilot evidence</x:v>
      </x:c>
      <x:c r="L22" s="1"/>
      <x:c r="M22" s="1"/>
      <x:c r="N22" s="1"/>
      <x:c r="O22" s="1"/>
      <x:c r="P22" s="1"/>
    </x:row>
    <x:row r="23" ht="34" customHeight="1">
      <x:c r="A23" s="1"/>
      <x:c r="B23" s="1"/>
      <x:c r="C23" s="1" t="str">
        <x:v>Takeaway packaging per order</x:v>
      </x:c>
      <x:c r="D23" s="1"/>
      <x:c r="E23" s="10" t="n">
        <x:v>3500</x:v>
      </x:c>
      <x:c r="F23" s="1" t="str">
        <x:v>IDR</x:v>
      </x:c>
      <x:c r="G23" s="1"/>
      <x:c r="H23" s="1"/>
      <x:c r="I23" s="26" t="str">
        <x:v>Coffee cup, bag and weighted food packaging.</x:v>
      </x:c>
      <x:c r="J23" s="26"/>
      <x:c r="K23" s="26" t="str">
        <x:v>Planning assumption, 18 Oct 2026; replace with quote or pilot evidence</x:v>
      </x:c>
      <x:c r="L23" s="1"/>
      <x:c r="M23" s="1"/>
      <x:c r="N23" s="1"/>
      <x:c r="O23" s="1"/>
      <x:c r="P23" s="1"/>
    </x:row>
    <x:row r="24" ht="34" customHeight="1">
      <x:c r="A24" s="1"/>
      <x:c r="B24" s="1"/>
      <x:c r="C24" s="1" t="str">
        <x:v>Delivery packaging per order</x:v>
      </x:c>
      <x:c r="D24" s="1"/>
      <x:c r="E24" s="10" t="n">
        <x:v>5000</x:v>
      </x:c>
      <x:c r="F24" s="1" t="str">
        <x:v>IDR</x:v>
      </x:c>
      <x:c r="G24" s="1"/>
      <x:c r="H24" s="1"/>
      <x:c r="I24" s="26" t="str">
        <x:v>Weighted package and sealing cost.</x:v>
      </x:c>
      <x:c r="J24" s="26"/>
      <x:c r="K24" s="26" t="str">
        <x:v>Planning assumption, 18 Oct 2026; replace with quote or pilot evidence</x:v>
      </x:c>
      <x:c r="L24" s="1"/>
      <x:c r="M24" s="1"/>
      <x:c r="N24" s="1"/>
      <x:c r="O24" s="1"/>
      <x:c r="P24" s="1"/>
    </x:row>
    <x:row r="25" ht="34" customHeight="1">
      <x:c r="A25" s="1"/>
      <x:c r="B25" s="1"/>
      <x:c r="C25" s="1" t="str">
        <x:v>Night delivery order share</x:v>
      </x:c>
      <x:c r="D25" s="1"/>
      <x:c r="E25" s="11" t="n">
        <x:v>0.2</x:v>
      </x:c>
      <x:c r="F25" s="1" t="str">
        <x:v>rate</x:v>
      </x:c>
      <x:c r="G25" s="1"/>
      <x:c r="H25" s="1"/>
      <x:c r="I25" s="26" t="str">
        <x:v>Remainder is direct takeaway; no night dine-in assumed.</x:v>
      </x:c>
      <x:c r="J25" s="26"/>
      <x:c r="K25" s="26" t="str">
        <x:v>Planning assumption, 18 Oct 2026; replace with quote or pilot evidence</x:v>
      </x:c>
      <x:c r="L25" s="1"/>
      <x:c r="M25" s="1"/>
      <x:c r="N25" s="1"/>
      <x:c r="O25" s="1"/>
      <x:c r="P25" s="1"/>
    </x:row>
    <x:row r="26" ht="34" customHeight="1">
      <x:c r="A26" s="1"/>
      <x:c r="B26" s="1"/>
      <x:c r="C26" s="1" t="str">
        <x:v>Night direct packaging per order</x:v>
      </x:c>
      <x:c r="D26" s="1"/>
      <x:c r="E26" s="10" t="n">
        <x:v>4000</x:v>
      </x:c>
      <x:c r="F26" s="1" t="str">
        <x:v>IDR</x:v>
      </x:c>
      <x:c r="G26" s="1"/>
      <x:c r="H26" s="1"/>
      <x:c r="I26" s="26" t="str">
        <x:v>Sandwich wrapper/box and bag.</x:v>
      </x:c>
      <x:c r="J26" s="26"/>
      <x:c r="K26" s="26" t="str">
        <x:v>Planning assumption, 18 Oct 2026; replace with quote or pilot evidence</x:v>
      </x:c>
      <x:c r="L26" s="1"/>
      <x:c r="M26" s="1"/>
      <x:c r="N26" s="1"/>
      <x:c r="O26" s="1"/>
      <x:c r="P26" s="1"/>
    </x:row>
    <x:row r="27" ht="34" customHeight="1">
      <x:c r="A27" s="1"/>
      <x:c r="B27" s="1"/>
      <x:c r="C27" s="1" t="str">
        <x:v>Day manager monthly wage</x:v>
      </x:c>
      <x:c r="D27" s="1"/>
      <x:c r="E27" s="10" t="n">
        <x:v>9000000</x:v>
      </x:c>
      <x:c r="F27" s="1" t="str">
        <x:v>IDR</x:v>
      </x:c>
      <x:c r="G27" s="1"/>
      <x:c r="H27" s="1"/>
      <x:c r="I27" s="26" t="str">
        <x:v>One hired manager; owner work not assumed free.</x:v>
      </x:c>
      <x:c r="J27" s="26"/>
      <x:c r="K27" s="26" t="str">
        <x:v>Planning assumption, 18 Oct 2026; replace with quote or pilot evidence</x:v>
      </x:c>
      <x:c r="L27" s="1"/>
      <x:c r="M27" s="1"/>
      <x:c r="N27" s="1"/>
      <x:c r="O27" s="1"/>
      <x:c r="P27" s="1"/>
    </x:row>
    <x:row r="28" ht="34" customHeight="1">
      <x:c r="A28" s="1"/>
      <x:c r="B28" s="1"/>
      <x:c r="C28" s="1" t="str">
        <x:v>Day operating crew headcount</x:v>
      </x:c>
      <x:c r="D28" s="1"/>
      <x:c r="E28" s="10" t="n">
        <x:v>6</x:v>
      </x:c>
      <x:c r="F28" s="1" t="str">
        <x:v>people</x:v>
      </x:c>
      <x:c r="G28" s="1"/>
      <x:c r="H28" s="1"/>
      <x:c r="I28" s="26" t="str">
        <x:v>Combined barista, service, assembly and relief roles; no full bakery production.</x:v>
      </x:c>
      <x:c r="J28" s="26"/>
      <x:c r="K28" s="26" t="str">
        <x:v>Planning assumption, 18 Oct 2026; replace with quote or pilot evidence</x:v>
      </x:c>
      <x:c r="L28" s="1"/>
      <x:c r="M28" s="1"/>
      <x:c r="N28" s="1"/>
      <x:c r="O28" s="1"/>
      <x:c r="P28" s="1"/>
    </x:row>
    <x:row r="29" ht="34" customHeight="1">
      <x:c r="A29" s="1"/>
      <x:c r="B29" s="1"/>
      <x:c r="C29" s="1" t="str">
        <x:v>Day crew monthly wage each</x:v>
      </x:c>
      <x:c r="D29" s="1"/>
      <x:c r="E29" s="10" t="n">
        <x:v>4500000</x:v>
      </x:c>
      <x:c r="F29" s="1" t="str">
        <x:v>IDR</x:v>
      </x:c>
      <x:c r="G29" s="1"/>
      <x:c r="H29" s="1"/>
      <x:c r="I29" s="26" t="str">
        <x:v>Above 2026 Badung UMK Rp3,791,002.57; recruitment quote still needed.</x:v>
      </x:c>
      <x:c r="J29" s="26"/>
      <x:c r="K29" s="26" t="str">
        <x:v>UMK official: https://disnakeresdm.baliprov.go.id/wp-content/uploads/2025/12/PENGUMUMAN-DAN-SK-UMK-UMSK-TAHUN-2026.pdf</x:v>
      </x:c>
      <x:c r="L29" s="1"/>
      <x:c r="M29" s="1"/>
      <x:c r="N29" s="1"/>
      <x:c r="O29" s="1"/>
      <x:c r="P29" s="1"/>
    </x:row>
    <x:row r="30" ht="34" customHeight="1">
      <x:c r="A30" s="1"/>
      <x:c r="B30" s="1"/>
      <x:c r="C30" s="1" t="str">
        <x:v>THR monthly accrual</x:v>
      </x:c>
      <x:c r="D30" s="1"/>
      <x:c r="E30" s="11" t="n">
        <x:v>0.08333333333333333</x:v>
      </x:c>
      <x:c r="F30" s="1" t="str">
        <x:v>rate</x:v>
      </x:c>
      <x:c r="G30" s="1"/>
      <x:c r="H30" s="1"/>
      <x:c r="I30" s="26" t="str">
        <x:v>One month annual wage provision; check tenure and fixed allowances.</x:v>
      </x:c>
      <x:c r="J30" s="26"/>
      <x:c r="K30" s="26" t="str">
        <x:v>Kemnaker 2026: https://jdih.kemnaker.go.id/asset/data_puu/2026senaker003.pdf</x:v>
      </x:c>
      <x:c r="L30" s="1"/>
      <x:c r="M30" s="1"/>
      <x:c r="N30" s="1"/>
      <x:c r="O30" s="1"/>
      <x:c r="P30" s="1"/>
    </x:row>
    <x:row r="31" ht="34" customHeight="1">
      <x:c r="A31" s="1"/>
      <x:c r="B31" s="1"/>
      <x:c r="C31" s="1" t="str">
        <x:v>Blended employer contribution provision</x:v>
      </x:c>
      <x:c r="D31" s="1"/>
      <x:c r="E31" s="11" t="n">
        <x:v>0.1054</x:v>
      </x:c>
      <x:c r="F31" s="1" t="str">
        <x:v>rate</x:v>
      </x:c>
      <x:c r="G31" s="1"/>
      <x:c r="H31" s="1"/>
      <x:c r="I31" s="26" t="str">
        <x:v>4% health + 3.7% JHT + 2% JP + 0.3% JKM + 0.54% JKK. Caps/classification need payroll review.</x:v>
      </x:c>
      <x:c r="J31" s="26"/>
      <x:c r="K31" s="26" t="str">
        <x:v>BPJS: https://www.bpjsketenagakerjaan.go.id/en/penerima-upah.html ; https://web.bpjs-kesehatan.go.id/uploads/information/4bd28c6ea8f022040f6eb93cfcd6e723.pdf</x:v>
      </x:c>
      <x:c r="L31" s="1"/>
      <x:c r="M31" s="1"/>
      <x:c r="N31" s="1"/>
      <x:c r="O31" s="1"/>
      <x:c r="P31" s="1"/>
    </x:row>
    <x:row r="32" ht="34" customHeight="1">
      <x:c r="A32" s="1"/>
      <x:c r="B32" s="1"/>
      <x:c r="C32" s="1" t="str">
        <x:v>Day meals, uniforms and transport</x:v>
      </x:c>
      <x:c r="D32" s="1"/>
      <x:c r="E32" s="10" t="n">
        <x:v>2100000</x:v>
      </x:c>
      <x:c r="F32" s="1" t="str">
        <x:v>IDR/month</x:v>
      </x:c>
      <x:c r="G32" s="1"/>
      <x:c r="H32" s="1"/>
      <x:c r="I32" s="26" t="str">
        <x:v>Operating allowance, not supplier quote.</x:v>
      </x:c>
      <x:c r="J32" s="26"/>
      <x:c r="K32" s="26" t="str">
        <x:v>Planning assumption, 18 Oct 2026; replace with quote or pilot evidence</x:v>
      </x:c>
      <x:c r="L32" s="1"/>
      <x:c r="M32" s="1"/>
      <x:c r="N32" s="1"/>
      <x:c r="O32" s="1"/>
      <x:c r="P32" s="1"/>
    </x:row>
    <x:row r="33" ht="34" customHeight="1">
      <x:c r="A33" s="1"/>
      <x:c r="B33" s="1"/>
      <x:c r="C33" s="1" t="str">
        <x:v>Day overtime and relief provision</x:v>
      </x:c>
      <x:c r="D33" s="1"/>
      <x:c r="E33" s="10" t="n">
        <x:v>3000000</x:v>
      </x:c>
      <x:c r="F33" s="1" t="str">
        <x:v>IDR/month</x:v>
      </x:c>
      <x:c r="G33" s="1"/>
      <x:c r="H33" s="1"/>
      <x:c r="I33" s="26" t="str">
        <x:v>Roster must still cover leave and breaks.</x:v>
      </x:c>
      <x:c r="J33" s="26"/>
      <x:c r="K33" s="26" t="str">
        <x:v>Planning assumption, 18 Oct 2026; replace with quote or pilot evidence</x:v>
      </x:c>
      <x:c r="L33" s="1"/>
      <x:c r="M33" s="1"/>
      <x:c r="N33" s="1"/>
      <x:c r="O33" s="1"/>
      <x:c r="P33" s="1"/>
    </x:row>
    <x:row r="34" ht="34" customHeight="1">
      <x:c r="A34" s="1"/>
      <x:c r="B34" s="1"/>
      <x:c r="C34" s="1" t="str">
        <x:v>Day utilities</x:v>
      </x:c>
      <x:c r="D34" s="1"/>
      <x:c r="E34" s="10" t="n">
        <x:v>6000000</x:v>
      </x:c>
      <x:c r="F34" s="1" t="str">
        <x:v>IDR/month</x:v>
      </x:c>
      <x:c r="G34" s="1"/>
      <x:c r="H34" s="1"/>
      <x:c r="I34" s="26" t="str">
        <x:v>Metering, AC, water and electrical capacity unknown.</x:v>
      </x:c>
      <x:c r="J34" s="26"/>
      <x:c r="K34" s="26" t="str">
        <x:v>Planning assumption, 18 Oct 2026; replace with quote or pilot evidence</x:v>
      </x:c>
      <x:c r="L34" s="1"/>
      <x:c r="M34" s="1"/>
      <x:c r="N34" s="1"/>
      <x:c r="O34" s="1"/>
      <x:c r="P34" s="1"/>
    </x:row>
    <x:row r="35" ht="34" customHeight="1">
      <x:c r="A35" s="1"/>
      <x:c r="B35" s="1"/>
      <x:c r="C35" s="1" t="str">
        <x:v>Marketing</x:v>
      </x:c>
      <x:c r="D35" s="1"/>
      <x:c r="E35" s="10" t="n">
        <x:v>4000000</x:v>
      </x:c>
      <x:c r="F35" s="1" t="str">
        <x:v>IDR/month</x:v>
      </x:c>
      <x:c r="G35" s="1"/>
      <x:c r="H35" s="1"/>
      <x:c r="I35" s="26" t="str">
        <x:v>Paid acquisition/loyalty budget; no guaranteed viral reach.</x:v>
      </x:c>
      <x:c r="J35" s="26"/>
      <x:c r="K35" s="26" t="str">
        <x:v>Planning assumption, 18 Oct 2026; replace with quote or pilot evidence</x:v>
      </x:c>
      <x:c r="L35" s="1"/>
      <x:c r="M35" s="1"/>
      <x:c r="N35" s="1"/>
      <x:c r="O35" s="1"/>
      <x:c r="P35" s="1"/>
    </x:row>
    <x:row r="36" ht="34" customHeight="1">
      <x:c r="A36" s="1"/>
      <x:c r="B36" s="1"/>
      <x:c r="C36" s="1" t="str">
        <x:v>POS, bookkeeping and software</x:v>
      </x:c>
      <x:c r="D36" s="1"/>
      <x:c r="E36" s="10" t="n">
        <x:v>2000000</x:v>
      </x:c>
      <x:c r="F36" s="1" t="str">
        <x:v>IDR/month</x:v>
      </x:c>
      <x:c r="G36" s="1"/>
      <x:c r="H36" s="1"/>
      <x:c r="I36" s="26" t="str">
        <x:v>Recurring allowance.</x:v>
      </x:c>
      <x:c r="J36" s="26"/>
      <x:c r="K36" s="26" t="str">
        <x:v>Planning assumption, 18 Oct 2026; replace with quote or pilot evidence</x:v>
      </x:c>
      <x:c r="L36" s="1"/>
      <x:c r="M36" s="1"/>
      <x:c r="N36" s="1"/>
      <x:c r="O36" s="1"/>
      <x:c r="P36" s="1"/>
    </x:row>
    <x:row r="37" ht="34" customHeight="1">
      <x:c r="A37" s="1"/>
      <x:c r="B37" s="1"/>
      <x:c r="C37" s="1" t="str">
        <x:v>Repairs and maintenance</x:v>
      </x:c>
      <x:c r="D37" s="1"/>
      <x:c r="E37" s="10" t="n">
        <x:v>2000000</x:v>
      </x:c>
      <x:c r="F37" s="1" t="str">
        <x:v>IDR/month</x:v>
      </x:c>
      <x:c r="G37" s="1"/>
      <x:c r="H37" s="1"/>
      <x:c r="I37" s="26" t="str">
        <x:v>Cash repairs; separate equipment replacement reserve below.</x:v>
      </x:c>
      <x:c r="J37" s="26"/>
      <x:c r="K37" s="26" t="str">
        <x:v>Planning assumption, 18 Oct 2026; replace with quote or pilot evidence</x:v>
      </x:c>
      <x:c r="L37" s="1"/>
      <x:c r="M37" s="1"/>
      <x:c r="N37" s="1"/>
      <x:c r="O37" s="1"/>
      <x:c r="P37" s="1"/>
    </x:row>
    <x:row r="38" ht="34" customHeight="1">
      <x:c r="A38" s="1"/>
      <x:c r="B38" s="1"/>
      <x:c r="C38" s="1" t="str">
        <x:v>Service, insurance and permits provision</x:v>
      </x:c>
      <x:c r="D38" s="1"/>
      <x:c r="E38" s="10" t="n">
        <x:v>2000000</x:v>
      </x:c>
      <x:c r="F38" s="1" t="str">
        <x:v>IDR/month</x:v>
      </x:c>
      <x:c r="G38" s="1"/>
      <x:c r="H38" s="1"/>
      <x:c r="I38" s="26" t="str">
        <x:v>Hotel service charges not quoted; confirm before lease.</x:v>
      </x:c>
      <x:c r="J38" s="26"/>
      <x:c r="K38" s="26" t="str">
        <x:v>Planning assumption, 18 Oct 2026; replace with quote or pilot evidence</x:v>
      </x:c>
      <x:c r="L38" s="1"/>
      <x:c r="M38" s="1"/>
      <x:c r="N38" s="1"/>
      <x:c r="O38" s="1"/>
      <x:c r="P38" s="1"/>
    </x:row>
    <x:row r="39" ht="34" customHeight="1">
      <x:c r="A39" s="1"/>
      <x:c r="B39" s="1"/>
      <x:c r="C39" s="1" t="str">
        <x:v>Cleaning, pest control and waste</x:v>
      </x:c>
      <x:c r="D39" s="1"/>
      <x:c r="E39" s="10" t="n">
        <x:v>2000000</x:v>
      </x:c>
      <x:c r="F39" s="1" t="str">
        <x:v>IDR/month</x:v>
      </x:c>
      <x:c r="G39" s="1"/>
      <x:c r="H39" s="1"/>
      <x:c r="I39" s="26" t="str">
        <x:v>Recurring allowance.</x:v>
      </x:c>
      <x:c r="J39" s="26"/>
      <x:c r="K39" s="26" t="str">
        <x:v>Planning assumption, 18 Oct 2026; replace with quote or pilot evidence</x:v>
      </x:c>
      <x:c r="L39" s="1"/>
      <x:c r="M39" s="1"/>
      <x:c r="N39" s="1"/>
      <x:c r="O39" s="1"/>
      <x:c r="P39" s="1"/>
    </x:row>
    <x:row r="40" ht="34" customHeight="1">
      <x:c r="A40" s="1"/>
      <x:c r="B40" s="1"/>
      <x:c r="C40" s="1" t="str">
        <x:v>Night paid crew per shift</x:v>
      </x:c>
      <x:c r="D40" s="1"/>
      <x:c r="E40" s="10" t="n">
        <x:v>2</x:v>
      </x:c>
      <x:c r="F40" s="1" t="str">
        <x:v>people</x:v>
      </x:c>
      <x:c r="G40" s="1"/>
      <x:c r="H40" s="1"/>
      <x:c r="I40" s="26" t="str">
        <x:v>Separate cook/assembler and order/collection role.</x:v>
      </x:c>
      <x:c r="J40" s="26"/>
      <x:c r="K40" s="26" t="str">
        <x:v>Planning assumption, 18 Oct 2026; replace with quote or pilot evidence</x:v>
      </x:c>
      <x:c r="L40" s="1"/>
      <x:c r="M40" s="1"/>
      <x:c r="N40" s="1"/>
      <x:c r="O40" s="1"/>
      <x:c r="P40" s="1"/>
    </x:row>
    <x:row r="41" ht="34" customHeight="1">
      <x:c r="A41" s="1"/>
      <x:c r="B41" s="1"/>
      <x:c r="C41" s="1" t="str">
        <x:v>Night crew pay each per night</x:v>
      </x:c>
      <x:c r="D41" s="1"/>
      <x:c r="E41" s="10" t="n">
        <x:v>300000</x:v>
      </x:c>
      <x:c r="F41" s="1" t="str">
        <x:v>IDR</x:v>
      </x:c>
      <x:c r="G41" s="1"/>
      <x:c r="H41" s="1"/>
      <x:c r="I41" s="26" t="str">
        <x:v>Includes preparation and close; assumed engagement costs need lawful roster quote.</x:v>
      </x:c>
      <x:c r="J41" s="26"/>
      <x:c r="K41" s="26" t="str">
        <x:v>Planning assumption, 18 Oct 2026; replace with quote or pilot evidence</x:v>
      </x:c>
      <x:c r="L41" s="1"/>
      <x:c r="M41" s="1"/>
      <x:c r="N41" s="1"/>
      <x:c r="O41" s="1"/>
      <x:c r="P41" s="1"/>
    </x:row>
    <x:row r="42" ht="34" customHeight="1">
      <x:c r="A42" s="1"/>
      <x:c r="B42" s="1"/>
      <x:c r="C42" s="1" t="str">
        <x:v>Night security per night</x:v>
      </x:c>
      <x:c r="D42" s="1"/>
      <x:c r="E42" s="10" t="n">
        <x:v>200000</x:v>
      </x:c>
      <x:c r="F42" s="1" t="str">
        <x:v>IDR</x:v>
      </x:c>
      <x:c r="G42" s="1"/>
      <x:c r="H42" s="1"/>
      <x:c r="I42" s="26" t="str">
        <x:v>Dedicated allowance; do not assume hotel provides free.</x:v>
      </x:c>
      <x:c r="J42" s="26"/>
      <x:c r="K42" s="26" t="str">
        <x:v>Planning assumption, 18 Oct 2026; replace with quote or pilot evidence</x:v>
      </x:c>
      <x:c r="L42" s="1"/>
      <x:c r="M42" s="1"/>
      <x:c r="N42" s="1"/>
      <x:c r="O42" s="1"/>
      <x:c r="P42" s="1"/>
    </x:row>
    <x:row r="43" ht="34" customHeight="1">
      <x:c r="A43" s="1"/>
      <x:c r="B43" s="1"/>
      <x:c r="C43" s="1" t="str">
        <x:v>Incremental night utilities</x:v>
      </x:c>
      <x:c r="D43" s="1"/>
      <x:c r="E43" s="10" t="n">
        <x:v>1000000</x:v>
      </x:c>
      <x:c r="F43" s="1" t="str">
        <x:v>IDR/month</x:v>
      </x:c>
      <x:c r="G43" s="1"/>
      <x:c r="H43" s="1"/>
      <x:c r="I43" s="26" t="str">
        <x:v>Allowance for selected night schedule.</x:v>
      </x:c>
      <x:c r="J43" s="26"/>
      <x:c r="K43" s="26" t="str">
        <x:v>Planning assumption, 18 Oct 2026; replace with quote or pilot evidence</x:v>
      </x:c>
      <x:c r="L43" s="1"/>
      <x:c r="M43" s="1"/>
      <x:c r="N43" s="1"/>
      <x:c r="O43" s="1"/>
      <x:c r="P43" s="1"/>
    </x:row>
    <x:row r="44" ht="34" customHeight="1">
      <x:c r="A44" s="1"/>
      <x:c r="B44" s="1"/>
      <x:c r="C44" s="1" t="str">
        <x:v>Incremental night oversight</x:v>
      </x:c>
      <x:c r="D44" s="1"/>
      <x:c r="E44" s="10" t="n">
        <x:v>1000000</x:v>
      </x:c>
      <x:c r="F44" s="1" t="str">
        <x:v>IDR/month</x:v>
      </x:c>
      <x:c r="G44" s="1"/>
      <x:c r="H44" s="1"/>
      <x:c r="I44" s="26" t="str">
        <x:v>Extra management/transport allowance.</x:v>
      </x:c>
      <x:c r="J44" s="26"/>
      <x:c r="K44" s="26" t="str">
        <x:v>Planning assumption, 18 Oct 2026; replace with quote or pilot evidence</x:v>
      </x:c>
      <x:c r="L44" s="1"/>
      <x:c r="M44" s="1"/>
      <x:c r="N44" s="1"/>
      <x:c r="O44" s="1"/>
      <x:c r="P44" s="1"/>
    </x:row>
    <x:row r="45" ht="34" customHeight="1">
      <x:c r="A45" s="1"/>
      <x:c r="B45" s="1"/>
      <x:c r="C45" s="1" t="str">
        <x:v>Income-tax cash provision on positive surplus</x:v>
      </x:c>
      <x:c r="D45" s="1"/>
      <x:c r="E45" s="11" t="n">
        <x:v>0.22</x:v>
      </x:c>
      <x:c r="F45" s="1" t="str">
        <x:v>rate</x:v>
      </x:c>
      <x:c r="G45" s="1"/>
      <x:c r="H45" s="1"/>
      <x:c r="I45" s="26" t="str">
        <x:v>Prudent reserve, NOT a computed statutory liability; losses not credited. Entity/relief/depreciation unknown.</x:v>
      </x:c>
      <x:c r="J45" s="26"/>
      <x:c r="K45" s="26" t="str">
        <x:v>PP20/2026 and DJP: https://pajak.go.id/en/node/119950 ; https://www.pajak.go.id/index.php/id/artikel/badan-usaha-justru-tidak-terbebani-dengan-pp-202026-ini-penjelasannya</x:v>
      </x:c>
      <x:c r="L45" s="1"/>
      <x:c r="M45" s="1"/>
      <x:c r="N45" s="1"/>
      <x:c r="O45" s="1"/>
      <x:c r="P45" s="1"/>
    </x:row>
    <x:row r="46" ht="34" customHeight="1">
      <x:c r="A46" s="1"/>
      <x:c r="B46" s="1"/>
      <x:c r="C46" s="1" t="str">
        <x:v>Day equipment replacement reserve</x:v>
      </x:c>
      <x:c r="D46" s="1"/>
      <x:c r="E46" s="10" t="n">
        <x:v>1000000</x:v>
      </x:c>
      <x:c r="F46" s="1" t="str">
        <x:v>IDR/month</x:v>
      </x:c>
      <x:c r="G46" s="1"/>
      <x:c r="H46" s="1"/>
      <x:c r="I46" s="26" t="str">
        <x:v>Cash set aside after income-tax provision.</x:v>
      </x:c>
      <x:c r="J46" s="26"/>
      <x:c r="K46" s="26" t="str">
        <x:v>Planning assumption, 18 Oct 2026; replace with quote or pilot evidence</x:v>
      </x:c>
      <x:c r="L46" s="1"/>
      <x:c r="M46" s="1"/>
      <x:c r="N46" s="1"/>
      <x:c r="O46" s="1"/>
      <x:c r="P46" s="1"/>
    </x:row>
    <x:row r="47" ht="34" customHeight="1">
      <x:c r="A47" s="1"/>
      <x:c r="B47" s="1"/>
      <x:c r="C47" s="1" t="str">
        <x:v>Night replacement reserve</x:v>
      </x:c>
      <x:c r="D47" s="1"/>
      <x:c r="E47" s="10" t="n">
        <x:v>300000</x:v>
      </x:c>
      <x:c r="F47" s="1" t="str">
        <x:v>IDR/month</x:v>
      </x:c>
      <x:c r="G47" s="1"/>
      <x:c r="H47" s="1"/>
      <x:c r="I47" s="26" t="str">
        <x:v>Incremental cash reserve after tax.</x:v>
      </x:c>
      <x:c r="J47" s="26"/>
      <x:c r="K47" s="26" t="str">
        <x:v>Planning assumption, 18 Oct 2026; replace with quote or pilot evidence</x:v>
      </x:c>
      <x:c r="L47" s="1"/>
      <x:c r="M47" s="1"/>
      <x:c r="N47" s="1"/>
      <x:c r="O47" s="1"/>
      <x:c r="P47" s="1"/>
    </x:row>
    <x:row r="48" ht="34" customHeight="1">
      <x:c r="A48" s="1"/>
      <x:c r="B48" s="1"/>
      <x:c r="C48" s="1" t="str">
        <x:v>Order volume stress multiplier</x:v>
      </x:c>
      <x:c r="D48" s="1"/>
      <x:c r="E48" s="10" t="n">
        <x:v>1</x:v>
      </x:c>
      <x:c r="F48" s="1" t="str">
        <x:v>multiple</x:v>
      </x:c>
      <x:c r="G48" s="1"/>
      <x:c r="H48" s="1"/>
      <x:c r="I48" s="26" t="str">
        <x:v>0.7 tests a 30% decline without lowering staffing or rent.</x:v>
      </x:c>
      <x:c r="J48" s="26"/>
      <x:c r="K48" s="26" t="str">
        <x:v>Planning assumption, 18 Oct 2026; replace with quote or pilot evidence</x:v>
      </x:c>
      <x:c r="L48" s="1"/>
      <x:c r="M48" s="1"/>
      <x:c r="N48" s="1"/>
      <x:c r="O48" s="1"/>
      <x:c r="P48" s="1"/>
    </x:row>
    <x:row r="49" ht="34" customHeight="1">
      <x:c r="A49" s="1"/>
      <x:c r="B49" s="1"/>
      <x:c r="C49" s="1" t="str">
        <x:v>Extra ingredient cost share</x:v>
      </x:c>
      <x:c r="D49" s="1"/>
      <x:c r="E49" s="11" t="n">
        <x:v>0</x:v>
      </x:c>
      <x:c r="F49" s="1" t="str">
        <x:v>rate</x:v>
      </x:c>
      <x:c r="G49" s="1"/>
      <x:c r="H49" s="1"/>
      <x:c r="I49" s="26" t="str">
        <x:v>Add 5 percentage points to test weaker margins.</x:v>
      </x:c>
      <x:c r="J49" s="26"/>
      <x:c r="K49" s="26" t="str">
        <x:v>Planning assumption, 18 Oct 2026; replace with quote or pilot evidence</x:v>
      </x:c>
      <x:c r="L49" s="1"/>
      <x:c r="M49" s="1"/>
      <x:c r="N49" s="1"/>
      <x:c r="O49" s="1"/>
      <x:c r="P49" s="1"/>
    </x:row>
    <x:row r="50" ht="34" customHeight="1">
      <x:c r="A50" s="1"/>
      <x:c r="B50" s="1"/>
      <x:c r="C50" s="1" t="str">
        <x:v>Lean services and fit-out</x:v>
      </x:c>
      <x:c r="D50" s="1"/>
      <x:c r="E50" s="10" t="n">
        <x:v>55000000</x:v>
      </x:c>
      <x:c r="F50" s="1" t="str">
        <x:v>IDR</x:v>
      </x:c>
      <x:c r="G50" s="1"/>
      <x:c r="H50" s="1"/>
      <x:c r="I50" s="26" t="str">
        <x:v>Unquoted; reuse existing shell and AC if serviceable.</x:v>
      </x:c>
      <x:c r="J50" s="26"/>
      <x:c r="K50" s="26" t="str">
        <x:v>Planning assumption, 18 Oct 2026; replace with quote or pilot evidence</x:v>
      </x:c>
      <x:c r="L50" s="1"/>
      <x:c r="M50" s="1"/>
      <x:c r="N50" s="1"/>
      <x:c r="O50" s="1"/>
      <x:c r="P50" s="1"/>
    </x:row>
    <x:row r="51" ht="34" customHeight="1">
      <x:c r="A51" s="1"/>
      <x:c r="B51" s="1"/>
      <x:c r="C51" s="1" t="str">
        <x:v>Lean frontage and signage</x:v>
      </x:c>
      <x:c r="D51" s="1"/>
      <x:c r="E51" s="10" t="n">
        <x:v>35000000</x:v>
      </x:c>
      <x:c r="F51" s="1" t="str">
        <x:v>IDR</x:v>
      </x:c>
      <x:c r="G51" s="1"/>
      <x:c r="H51" s="1"/>
      <x:c r="I51" s="26" t="str">
        <x:v>Functional visibility and window; no major structural rebuild.</x:v>
      </x:c>
      <x:c r="J51" s="26"/>
      <x:c r="K51" s="26" t="str">
        <x:v>Planning assumption, 18 Oct 2026; replace with quote or pilot evidence</x:v>
      </x:c>
      <x:c r="L51" s="1"/>
      <x:c r="M51" s="1"/>
      <x:c r="N51" s="1"/>
      <x:c r="O51" s="1"/>
      <x:c r="P51" s="1"/>
    </x:row>
    <x:row r="52" ht="34" customHeight="1">
      <x:c r="A52" s="1"/>
      <x:c r="B52" s="1"/>
      <x:c r="C52" s="1" t="str">
        <x:v>Lean furniture and lighting</x:v>
      </x:c>
      <x:c r="D52" s="1"/>
      <x:c r="E52" s="10" t="n">
        <x:v>20000000</x:v>
      </x:c>
      <x:c r="F52" s="1" t="str">
        <x:v>IDR</x:v>
      </x:c>
      <x:c r="G52" s="1"/>
      <x:c r="H52" s="1"/>
      <x:c r="I52" s="26" t="str">
        <x:v>Twelve seats and modest photo corner.</x:v>
      </x:c>
      <x:c r="J52" s="26"/>
      <x:c r="K52" s="26" t="str">
        <x:v>Planning assumption, 18 Oct 2026; replace with quote or pilot evidence</x:v>
      </x:c>
      <x:c r="L52" s="1"/>
      <x:c r="M52" s="1"/>
      <x:c r="N52" s="1"/>
      <x:c r="O52" s="1"/>
      <x:c r="P52" s="1"/>
    </x:row>
    <x:row r="53" ht="34" customHeight="1">
      <x:c r="A53" s="1"/>
      <x:c r="B53" s="1"/>
      <x:c r="C53" s="1" t="str">
        <x:v>Coffee equipment allowance</x:v>
      </x:c>
      <x:c r="D53" s="1"/>
      <x:c r="E53" s="10" t="n">
        <x:v>90000000</x:v>
      </x:c>
      <x:c r="F53" s="1" t="str">
        <x:v>IDR</x:v>
      </x:c>
      <x:c r="G53" s="1"/>
      <x:c r="H53" s="1"/>
      <x:c r="I53" s="26" t="str">
        <x:v>Get machine, grinder and water filtration quotations.</x:v>
      </x:c>
      <x:c r="J53" s="26"/>
      <x:c r="K53" s="26" t="str">
        <x:v>Planning assumption, 18 Oct 2026; replace with quote or pilot evidence</x:v>
      </x:c>
      <x:c r="L53" s="1"/>
      <x:c r="M53" s="1"/>
      <x:c r="N53" s="1"/>
      <x:c r="O53" s="1"/>
      <x:c r="P53" s="1"/>
    </x:row>
    <x:row r="54" ht="34" customHeight="1">
      <x:c r="A54" s="1"/>
      <x:c r="B54" s="1"/>
      <x:c r="C54" s="1" t="str">
        <x:v>Cold chain and sandwich equipment</x:v>
      </x:c>
      <x:c r="D54" s="1"/>
      <x:c r="E54" s="10" t="n">
        <x:v>65000000</x:v>
      </x:c>
      <x:c r="F54" s="1" t="str">
        <x:v>IDR</x:v>
      </x:c>
      <x:c r="G54" s="1"/>
      <x:c r="H54" s="1"/>
      <x:c r="I54" s="26" t="str">
        <x:v>Unquoted allowance for refrigeration, press, katsu cooking, prep and washing; no bakery/smoker.</x:v>
      </x:c>
      <x:c r="J54" s="26"/>
      <x:c r="K54" s="26" t="str">
        <x:v>Planning assumption, 18 Oct 2026; replace with quote or pilot evidence</x:v>
      </x:c>
      <x:c r="L54" s="1"/>
      <x:c r="M54" s="1"/>
      <x:c r="N54" s="1"/>
      <x:c r="O54" s="1"/>
      <x:c r="P54" s="1"/>
    </x:row>
    <x:row r="55" ht="34" customHeight="1">
      <x:c r="A55" s="1"/>
      <x:c r="B55" s="1"/>
      <x:c r="C55" s="1" t="str">
        <x:v>Identity, POS and opening wares</x:v>
      </x:c>
      <x:c r="D55" s="1"/>
      <x:c r="E55" s="10" t="n">
        <x:v>15000000</x:v>
      </x:c>
      <x:c r="F55" s="1" t="str">
        <x:v>IDR</x:v>
      </x:c>
      <x:c r="G55" s="1"/>
      <x:c r="H55" s="1"/>
      <x:c r="I55" s="26" t="str">
        <x:v>Allowance.</x:v>
      </x:c>
      <x:c r="J55" s="26"/>
      <x:c r="K55" s="26" t="str">
        <x:v>Planning assumption, 18 Oct 2026; replace with quote or pilot evidence</x:v>
      </x:c>
      <x:c r="L55" s="1"/>
      <x:c r="M55" s="1"/>
      <x:c r="N55" s="1"/>
      <x:c r="O55" s="1"/>
      <x:c r="P55" s="1"/>
    </x:row>
    <x:row r="56" ht="34" customHeight="1">
      <x:c r="A56" s="1"/>
      <x:c r="B56" s="1"/>
      <x:c r="C56" s="1" t="str">
        <x:v>Professional fees and compliance</x:v>
      </x:c>
      <x:c r="D56" s="1"/>
      <x:c r="E56" s="10" t="n">
        <x:v>20000000</x:v>
      </x:c>
      <x:c r="F56" s="1" t="str">
        <x:v>IDR</x:v>
      </x:c>
      <x:c r="G56" s="1"/>
      <x:c r="H56" s="1"/>
      <x:c r="I56" s="26" t="str">
        <x:v>Scope and authority requirements need confirmation.</x:v>
      </x:c>
      <x:c r="J56" s="26"/>
      <x:c r="K56" s="26" t="str">
        <x:v>Planning assumption, 18 Oct 2026; replace with quote or pilot evidence</x:v>
      </x:c>
      <x:c r="L56" s="1"/>
      <x:c r="M56" s="1"/>
      <x:c r="N56" s="1"/>
      <x:c r="O56" s="1"/>
      <x:c r="P56" s="1"/>
    </x:row>
    <x:row r="57" ht="34" customHeight="1">
      <x:c r="A57" s="1"/>
      <x:c r="B57" s="1"/>
      <x:c r="C57" s="1" t="str">
        <x:v>Fit-out contingency</x:v>
      </x:c>
      <x:c r="D57" s="1"/>
      <x:c r="E57" s="11" t="n">
        <x:v>0.15</x:v>
      </x:c>
      <x:c r="F57" s="1" t="str">
        <x:v>rate</x:v>
      </x:c>
      <x:c r="G57" s="1"/>
      <x:c r="H57" s="1"/>
      <x:c r="I57" s="26" t="str">
        <x:v>Allowance only; no quotations received.</x:v>
      </x:c>
      <x:c r="J57" s="26"/>
      <x:c r="K57" s="26" t="str">
        <x:v>Planning assumption, 18 Oct 2026; replace with quote or pilot evidence</x:v>
      </x:c>
      <x:c r="L57" s="1"/>
      <x:c r="M57" s="1"/>
      <x:c r="N57" s="1"/>
      <x:c r="O57" s="1"/>
      <x:c r="P57" s="1"/>
    </x:row>
    <x:row r="58" ht="34" customHeight="1">
      <x:c r="A58" s="1"/>
      <x:c r="B58" s="1"/>
      <x:c r="C58" s="1" t="str">
        <x:v>Additional night equipment</x:v>
      </x:c>
      <x:c r="D58" s="1"/>
      <x:c r="E58" s="10" t="n">
        <x:v>15000000</x:v>
      </x:c>
      <x:c r="F58" s="1" t="str">
        <x:v>IDR</x:v>
      </x:c>
      <x:c r="G58" s="1"/>
      <x:c r="H58" s="1"/>
      <x:c r="I58" s="26" t="str">
        <x:v>Only added to opening funding when night is enabled.</x:v>
      </x:c>
      <x:c r="J58" s="26"/>
      <x:c r="K58" s="26" t="str">
        <x:v>Planning assumption, 18 Oct 2026; replace with quote or pilot evidence</x:v>
      </x:c>
      <x:c r="L58" s="1"/>
      <x:c r="M58" s="1"/>
      <x:c r="N58" s="1"/>
      <x:c r="O58" s="1"/>
      <x:c r="P58" s="1"/>
    </x:row>
    <x:row r="59" ht="34" customHeight="1">
      <x:c r="A59" s="1"/>
      <x:c r="B59" s="1"/>
      <x:c r="C59" s="1" t="str">
        <x:v>Recruitment, training and pre-opening</x:v>
      </x:c>
      <x:c r="D59" s="1"/>
      <x:c r="E59" s="10" t="n">
        <x:v>25000000</x:v>
      </x:c>
      <x:c r="F59" s="1" t="str">
        <x:v>IDR</x:v>
      </x:c>
      <x:c r="G59" s="1"/>
      <x:c r="H59" s="1"/>
      <x:c r="I59" s="26" t="str">
        <x:v>Excludes rent lost during fit-out; add below if lease starts early.</x:v>
      </x:c>
      <x:c r="J59" s="26"/>
      <x:c r="K59" s="26" t="str">
        <x:v>Planning assumption, 18 Oct 2026; replace with quote or pilot evidence</x:v>
      </x:c>
      <x:c r="L59" s="1"/>
      <x:c r="M59" s="1"/>
      <x:c r="N59" s="1"/>
      <x:c r="O59" s="1"/>
      <x:c r="P59" s="1"/>
    </x:row>
    <x:row r="60" ht="34" customHeight="1">
      <x:c r="A60" s="1"/>
      <x:c r="B60" s="1"/>
      <x:c r="C60" s="1" t="str">
        <x:v>Additional rent months before trading</x:v>
      </x:c>
      <x:c r="D60" s="1"/>
      <x:c r="E60" s="10" t="n">
        <x:v>0</x:v>
      </x:c>
      <x:c r="F60" s="1" t="str">
        <x:v>months</x:v>
      </x:c>
      <x:c r="G60" s="1"/>
      <x:c r="H60" s="1"/>
      <x:c r="I60" s="26" t="str">
        <x:v>UNKNOWN. Zero assumes separate rent-free fit-out or operating year starts at opening.</x:v>
      </x:c>
      <x:c r="J60" s="26"/>
      <x:c r="K60" s="26" t="str">
        <x:v>Planning assumption, 18 Oct 2026; replace with quote or pilot evidence</x:v>
      </x:c>
      <x:c r="L60" s="1"/>
      <x:c r="M60" s="1"/>
      <x:c r="N60" s="1"/>
      <x:c r="O60" s="1"/>
      <x:c r="P60" s="1"/>
    </x:row>
    <x:row r="61" ht="34" customHeight="1">
      <x:c r="A61" s="1"/>
      <x:c r="B61" s="1"/>
      <x:c r="C61" s="1" t="str">
        <x:v>Opening inventory and settlement buffer</x:v>
      </x:c>
      <x:c r="D61" s="1"/>
      <x:c r="E61" s="10" t="n">
        <x:v>15000000</x:v>
      </x:c>
      <x:c r="F61" s="1" t="str">
        <x:v>IDR</x:v>
      </x:c>
      <x:c r="G61" s="1"/>
      <x:c r="H61" s="1"/>
      <x:c r="I61" s="26" t="str">
        <x:v>Includes stock, till and short platform settlement float; same-month collections assumed.</x:v>
      </x:c>
      <x:c r="J61" s="26"/>
      <x:c r="K61" s="26" t="str">
        <x:v>Planning assumption, 18 Oct 2026; replace with quote or pilot evidence</x:v>
      </x:c>
      <x:c r="L61" s="1"/>
      <x:c r="M61" s="1"/>
      <x:c r="N61" s="1"/>
      <x:c r="O61" s="1"/>
      <x:c r="P61" s="1"/>
    </x:row>
    <x:row r="62" ht="34" customHeight="1">
      <x:c r="A62" s="1"/>
      <x:c r="B62" s="1"/>
      <x:c r="C62" s="1" t="str">
        <x:v>Opening non-rent fixed-cost reserve</x:v>
      </x:c>
      <x:c r="D62" s="1"/>
      <x:c r="E62" s="10" t="n">
        <x:v>3</x:v>
      </x:c>
      <x:c r="F62" s="1" t="str">
        <x:v>months</x:v>
      </x:c>
      <x:c r="G62" s="1"/>
      <x:c r="H62" s="1"/>
      <x:c r="I62" s="26" t="str">
        <x:v>Rent is prepaid separately; avoids counting it twice in this reserve.</x:v>
      </x:c>
      <x:c r="J62" s="26"/>
      <x:c r="K62" s="26" t="str">
        <x:v>Planning assumption, 18 Oct 2026; replace with quote or pilot evidence</x:v>
      </x:c>
      <x:c r="L62" s="1"/>
      <x:c r="M62" s="1"/>
      <x:c r="N62" s="1"/>
      <x:c r="O62" s="1"/>
      <x:c r="P62" s="1"/>
    </x:row>
    <x:row r="63" ht="34" customHeight="1">
      <x:c r="A63" s="1"/>
      <x:c r="B63" s="1"/>
      <x:c r="C63" s="1" t="str">
        <x:v>Illustrative desired monthly cash surplus</x:v>
      </x:c>
      <x:c r="D63" s="1"/>
      <x:c r="E63" s="10" t="n">
        <x:v>25000000</x:v>
      </x:c>
      <x:c r="F63" s="1" t="str">
        <x:v>IDR</x:v>
      </x:c>
      <x:c r="G63" s="1"/>
      <x:c r="H63" s="1"/>
      <x:c r="I63" s="26" t="str">
        <x:v>For required-order calculation only; not an owner-approved hurdle.</x:v>
      </x:c>
      <x:c r="J63" s="26"/>
      <x:c r="K63" s="26" t="str">
        <x:v>Planning assumption, 18 Oct 2026; replace with quote or pilot evidence</x:v>
      </x:c>
      <x:c r="L63" s="1"/>
      <x:c r="M63" s="1"/>
      <x:c r="N63" s="1"/>
      <x:c r="O63" s="1"/>
      <x:c r="P63" s="1"/>
    </x:row>
    <x:row r="64" ht="34" customHeight="1">
      <x:c r="A64" s="1"/>
      <x:c r="B64" s="1"/>
      <x:c r="C64" s="1" t="str">
        <x:v>Indoor seats</x:v>
      </x:c>
      <x:c r="D64" s="1"/>
      <x:c r="E64" s="10" t="n">
        <x:v>12</x:v>
      </x:c>
      <x:c r="F64" s="1" t="str">
        <x:v>seats</x:v>
      </x:c>
      <x:c r="G64" s="1"/>
      <x:c r="H64" s="1"/>
      <x:c r="I64" s="26" t="str">
        <x:v>Existing accepted layout, not surveyed maximum.</x:v>
      </x:c>
      <x:c r="J64" s="26"/>
      <x:c r="K64" s="26" t="str">
        <x:v>Owner materials: main 10.8 x 4m; layout files, reviewed 18 Oct 2026</x:v>
      </x:c>
      <x:c r="L64" s="1"/>
      <x:c r="M64" s="1"/>
      <x:c r="N64" s="1"/>
      <x:c r="O64" s="1"/>
      <x:c r="P64" s="1"/>
    </x:row>
    <x:row r="65" ht="34" customHeight="1">
      <x:c r="A65" s="1"/>
      <x:c r="B65" s="1"/>
      <x:c r="C65" s="1" t="str">
        <x:v>Day service hours</x:v>
      </x:c>
      <x:c r="D65" s="1"/>
      <x:c r="E65" s="10" t="n">
        <x:v>10</x:v>
      </x:c>
      <x:c r="F65" s="1" t="str">
        <x:v>hours</x:v>
      </x:c>
      <x:c r="G65" s="1"/>
      <x:c r="H65" s="1"/>
      <x:c r="I65" s="26" t="str">
        <x:v>Illustrative 07:00–17:00; quote roster for preparation and close.</x:v>
      </x:c>
      <x:c r="J65" s="26"/>
      <x:c r="K65" s="26" t="str">
        <x:v>Planning assumption, 18 Oct 2026; replace with quote or pilot evidence</x:v>
      </x:c>
      <x:c r="L65" s="1"/>
      <x:c r="M65" s="1"/>
      <x:c r="N65" s="1"/>
      <x:c r="O65" s="1"/>
      <x:c r="P65" s="1"/>
    </x:row>
    <x:row r="66" ht="34" customHeight="1">
      <x:c r="A66" s="1"/>
      <x:c r="B66" s="1"/>
      <x:c r="C66" s="1" t="str">
        <x:v>Orders in busiest two hours</x:v>
      </x:c>
      <x:c r="D66" s="1"/>
      <x:c r="E66" s="11" t="n">
        <x:v>0.4</x:v>
      </x:c>
      <x:c r="F66" s="1" t="str">
        <x:v>rate</x:v>
      </x:c>
      <x:c r="G66" s="1"/>
      <x:c r="H66" s="1"/>
      <x:c r="I66" s="26" t="str">
        <x:v>Capacity planning assumption; replace with pilot hourly mix.</x:v>
      </x:c>
      <x:c r="J66" s="26"/>
      <x:c r="K66" s="26" t="str">
        <x:v>Planning assumption, 18 Oct 2026; replace with quote or pilot evidence</x:v>
      </x:c>
      <x:c r="L66" s="1"/>
      <x:c r="M66" s="1"/>
      <x:c r="N66" s="1"/>
      <x:c r="O66" s="1"/>
      <x:c r="P66" s="1"/>
    </x:row>
    <x:row r="67" ht="34" customHeight="1">
      <x:c r="A67" s="1"/>
      <x:c r="B67" s="1"/>
      <x:c r="C67" s="1" t="str">
        <x:v>Peak window length</x:v>
      </x:c>
      <x:c r="D67" s="1"/>
      <x:c r="E67" s="10" t="n">
        <x:v>2</x:v>
      </x:c>
      <x:c r="F67" s="1" t="str">
        <x:v>hours</x:v>
      </x:c>
      <x:c r="G67" s="1"/>
      <x:c r="H67" s="1"/>
      <x:c r="I67" s="26" t="str">
        <x:v>Used with peak share.</x:v>
      </x:c>
      <x:c r="J67" s="26"/>
      <x:c r="K67" s="26" t="str">
        <x:v>Planning assumption, 18 Oct 2026; replace with quote or pilot evidence</x:v>
      </x:c>
      <x:c r="L67" s="1"/>
      <x:c r="M67" s="1"/>
      <x:c r="N67" s="1"/>
      <x:c r="O67" s="1"/>
      <x:c r="P67" s="1"/>
    </x:row>
    <x:row r="68" ht="34" customHeight="1">
      <x:c r="A68" s="1"/>
      <x:c r="B68" s="1"/>
      <x:c r="C68" s="1" t="str">
        <x:v>Illustrative street capture rate</x:v>
      </x:c>
      <x:c r="D68" s="1"/>
      <x:c r="E68" s="11" t="n">
        <x:v>0.05</x:v>
      </x:c>
      <x:c r="F68" s="1" t="str">
        <x:v>rate</x:v>
      </x:c>
      <x:c r="G68" s="1"/>
      <x:c r="H68" s="1"/>
      <x:c r="I68" s="26" t="str">
        <x:v>Not observed. Required frontage passers are a field-test target.</x:v>
      </x:c>
      <x:c r="J68" s="26"/>
      <x:c r="K68" s="26" t="str">
        <x:v>Planning assumption, 18 Oct 2026; replace with quote or pilot evidence</x:v>
      </x:c>
      <x:c r="L68" s="1"/>
      <x:c r="M68" s="1"/>
      <x:c r="N68" s="1"/>
      <x:c r="O68" s="1"/>
      <x:c r="P68" s="1"/>
    </x:row>
    <x:row r="69" ht="34" customHeight="1">
      <x:c r="A69" s="1"/>
      <x:c r="B69" s="1"/>
      <x:c r="C69" s="1"/>
      <x:c r="D69" s="1"/>
      <x:c r="E69" s="1"/>
      <x:c r="F69" s="1"/>
      <x:c r="G69" s="1"/>
      <x:c r="H69" s="1"/>
      <x:c r="I69" s="26"/>
      <x:c r="J69" s="26"/>
      <x:c r="K69" s="26"/>
      <x:c r="L69" s="1"/>
      <x:c r="M69" s="1"/>
      <x:c r="N69" s="1"/>
      <x:c r="O69" s="1"/>
      <x:c r="P69" s="1"/>
    </x:row>
    <x:row r="70" ht="34" customHeight="1">
      <x:c r="A70" s="1"/>
      <x:c r="B70" s="1"/>
      <x:c r="C70" s="1"/>
      <x:c r="D70" s="1"/>
      <x:c r="E70" s="1"/>
      <x:c r="F70" s="1"/>
      <x:c r="G70" s="1"/>
      <x:c r="H70" s="1"/>
      <x:c r="I70" s="26"/>
      <x:c r="J70" s="26"/>
      <x:c r="K70" s="26"/>
      <x:c r="L70" s="1"/>
      <x:c r="M70" s="1"/>
      <x:c r="N70" s="1"/>
      <x:c r="O70" s="1"/>
      <x:c r="P70" s="1"/>
    </x:row>
    <x:row r="71" ht="34" customHeight="1">
      <x:c r="A71" s="1"/>
      <x:c r="B71" s="1"/>
      <x:c r="C71" s="1"/>
      <x:c r="D71" s="1"/>
      <x:c r="E71" s="1"/>
      <x:c r="F71" s="1"/>
      <x:c r="G71" s="1"/>
      <x:c r="H71" s="1"/>
      <x:c r="I71" s="26"/>
      <x:c r="J71" s="26"/>
      <x:c r="K71" s="26"/>
      <x:c r="L71" s="1"/>
      <x:c r="M71" s="1"/>
      <x:c r="N71" s="1"/>
      <x:c r="O71" s="1"/>
      <x:c r="P71" s="1"/>
    </x:row>
    <x:row r="72" ht="34" customHeight="1">
      <x:c r="A72" s="1"/>
      <x:c r="B72" s="1"/>
      <x:c r="C72" s="13" t="str">
        <x:v>Scenario drivers</x:v>
      </x:c>
      <x:c r="D72" s="13"/>
      <x:c r="E72" s="13"/>
      <x:c r="F72" s="13"/>
      <x:c r="G72" s="13"/>
      <x:c r="H72" s="13"/>
      <x:c r="I72" s="21"/>
      <x:c r="J72" s="21"/>
      <x:c r="K72" s="26"/>
      <x:c r="L72" s="1"/>
      <x:c r="M72" s="1"/>
      <x:c r="N72" s="1"/>
      <x:c r="O72" s="1"/>
      <x:c r="P72" s="1"/>
    </x:row>
    <x:row r="73" ht="34" customHeight="1">
      <x:c r="A73" s="1"/>
      <x:c r="B73" s="1"/>
      <x:c r="C73" s="14" t="str">
        <x:v>Dine-in transactions/day · active</x:v>
      </x:c>
      <x:c r="D73" s="14"/>
      <x:c r="E73" s="16" t="n">
        <x:f>IF(ISNUMBER(CHOOSE($E$4,E74,E75,E76)),CHOOSE($E$4,E74,E75,E76),"Missing input")</x:f>
        <x:v>12</x:v>
      </x:c>
      <x:c r="F73" s="14" t="str">
        <x:v>orders</x:v>
      </x:c>
      <x:c r="G73" s="14"/>
      <x:c r="H73" s="1"/>
      <x:c r="I73" s="26" t="str">
        <x:v>Scenario volumes are hypotheses, not observed demand.</x:v>
      </x:c>
      <x:c r="J73" s="26"/>
      <x:c r="K73" s="26"/>
      <x:c r="L73" s="1"/>
      <x:c r="M73" s="1"/>
      <x:c r="N73" s="1"/>
      <x:c r="O73" s="1"/>
      <x:c r="P73" s="1"/>
    </x:row>
    <x:row r="74" ht="34" customHeight="1">
      <x:c r="A74" s="1"/>
      <x:c r="B74" s="1"/>
      <x:c r="C74" s="1" t="str">
        <x:v>Downside</x:v>
      </x:c>
      <x:c r="D74" s="1"/>
      <x:c r="E74" s="10" t="n">
        <x:v>8</x:v>
      </x:c>
      <x:c r="F74" s="1"/>
      <x:c r="G74" s="1"/>
      <x:c r="H74" s="1"/>
      <x:c r="I74" s="26"/>
      <x:c r="J74" s="26"/>
      <x:c r="K74" s="26"/>
      <x:c r="L74" s="1"/>
      <x:c r="M74" s="1"/>
      <x:c r="N74" s="1"/>
      <x:c r="O74" s="1"/>
      <x:c r="P74" s="1"/>
    </x:row>
    <x:row r="75" ht="34" customHeight="1">
      <x:c r="A75" s="1"/>
      <x:c r="B75" s="1"/>
      <x:c r="C75" s="1" t="str">
        <x:v>Base</x:v>
      </x:c>
      <x:c r="D75" s="1"/>
      <x:c r="E75" s="10" t="n">
        <x:v>12</x:v>
      </x:c>
      <x:c r="F75" s="1"/>
      <x:c r="G75" s="1"/>
      <x:c r="H75" s="1"/>
      <x:c r="I75" s="26"/>
      <x:c r="J75" s="26"/>
      <x:c r="K75" s="26"/>
      <x:c r="L75" s="1"/>
      <x:c r="M75" s="1"/>
      <x:c r="N75" s="1"/>
      <x:c r="O75" s="1"/>
      <x:c r="P75" s="1"/>
    </x:row>
    <x:row r="76" ht="34" customHeight="1">
      <x:c r="A76" s="1"/>
      <x:c r="B76" s="1"/>
      <x:c r="C76" s="1" t="str">
        <x:v>Upside</x:v>
      </x:c>
      <x:c r="D76" s="1"/>
      <x:c r="E76" s="10" t="n">
        <x:v>16</x:v>
      </x:c>
      <x:c r="F76" s="1"/>
      <x:c r="G76" s="1"/>
      <x:c r="H76" s="1"/>
      <x:c r="I76" s="26"/>
      <x:c r="J76" s="26"/>
      <x:c r="K76" s="26"/>
      <x:c r="L76" s="1"/>
      <x:c r="M76" s="1"/>
      <x:c r="N76" s="1"/>
      <x:c r="O76" s="1"/>
      <x:c r="P76" s="1"/>
    </x:row>
    <x:row r="77" ht="34" customHeight="1">
      <x:c r="A77" s="1"/>
      <x:c r="B77" s="1"/>
      <x:c r="C77" s="1"/>
      <x:c r="D77" s="1"/>
      <x:c r="E77" s="1"/>
      <x:c r="F77" s="1"/>
      <x:c r="G77" s="1"/>
      <x:c r="H77" s="1"/>
      <x:c r="I77" s="26"/>
      <x:c r="J77" s="26"/>
      <x:c r="K77" s="26"/>
      <x:c r="L77" s="1"/>
      <x:c r="M77" s="1"/>
      <x:c r="N77" s="1"/>
      <x:c r="O77" s="1"/>
      <x:c r="P77" s="1"/>
    </x:row>
    <x:row r="78" ht="34" customHeight="1">
      <x:c r="A78" s="1"/>
      <x:c r="B78" s="1"/>
      <x:c r="C78" s="14" t="str">
        <x:v>Direct takeaway transactions/day · active</x:v>
      </x:c>
      <x:c r="D78" s="14"/>
      <x:c r="E78" s="16" t="n">
        <x:f>IF(ISNUMBER(CHOOSE($E$4,E79,E80,E81)),CHOOSE($E$4,E79,E80,E81),"Missing input")</x:f>
        <x:v>51</x:v>
      </x:c>
      <x:c r="F78" s="14" t="str">
        <x:v>orders</x:v>
      </x:c>
      <x:c r="G78" s="14"/>
      <x:c r="H78" s="1"/>
      <x:c r="I78" s="26" t="str">
        <x:v>Includes hotel orders only when actually purchased; no separate hotel sales added.</x:v>
      </x:c>
      <x:c r="J78" s="26"/>
      <x:c r="K78" s="26"/>
      <x:c r="L78" s="1"/>
      <x:c r="M78" s="1"/>
      <x:c r="N78" s="1"/>
      <x:c r="O78" s="1"/>
      <x:c r="P78" s="1"/>
    </x:row>
    <x:row r="79" ht="34" customHeight="1">
      <x:c r="A79" s="1"/>
      <x:c r="B79" s="1"/>
      <x:c r="C79" s="1" t="str">
        <x:v>Downside</x:v>
      </x:c>
      <x:c r="D79" s="1"/>
      <x:c r="E79" s="10" t="n">
        <x:v>30</x:v>
      </x:c>
      <x:c r="F79" s="1"/>
      <x:c r="G79" s="1"/>
      <x:c r="H79" s="1"/>
      <x:c r="I79" s="26"/>
      <x:c r="J79" s="26"/>
      <x:c r="K79" s="26"/>
      <x:c r="L79" s="1"/>
      <x:c r="M79" s="1"/>
      <x:c r="N79" s="1"/>
      <x:c r="O79" s="1"/>
      <x:c r="P79" s="1"/>
    </x:row>
    <x:row r="80" ht="34" customHeight="1">
      <x:c r="A80" s="1"/>
      <x:c r="B80" s="1"/>
      <x:c r="C80" s="1" t="str">
        <x:v>Base</x:v>
      </x:c>
      <x:c r="D80" s="1"/>
      <x:c r="E80" s="10" t="n">
        <x:v>51</x:v>
      </x:c>
      <x:c r="F80" s="1"/>
      <x:c r="G80" s="1"/>
      <x:c r="H80" s="1"/>
      <x:c r="I80" s="26"/>
      <x:c r="J80" s="26"/>
      <x:c r="K80" s="26"/>
      <x:c r="L80" s="1"/>
      <x:c r="M80" s="1"/>
      <x:c r="N80" s="1"/>
      <x:c r="O80" s="1"/>
      <x:c r="P80" s="1"/>
    </x:row>
    <x:row r="81" ht="34" customHeight="1">
      <x:c r="A81" s="1"/>
      <x:c r="B81" s="1"/>
      <x:c r="C81" s="1" t="str">
        <x:v>Upside</x:v>
      </x:c>
      <x:c r="D81" s="1"/>
      <x:c r="E81" s="10" t="n">
        <x:v>76</x:v>
      </x:c>
      <x:c r="F81" s="1"/>
      <x:c r="G81" s="1"/>
      <x:c r="H81" s="1"/>
      <x:c r="I81" s="26"/>
      <x:c r="J81" s="26"/>
      <x:c r="K81" s="26"/>
      <x:c r="L81" s="1"/>
      <x:c r="M81" s="1"/>
      <x:c r="N81" s="1"/>
      <x:c r="O81" s="1"/>
      <x:c r="P81" s="1"/>
    </x:row>
    <x:row r="82" ht="34" customHeight="1">
      <x:c r="A82" s="1"/>
      <x:c r="B82" s="1"/>
      <x:c r="C82" s="1"/>
      <x:c r="D82" s="1"/>
      <x:c r="E82" s="1"/>
      <x:c r="F82" s="1"/>
      <x:c r="G82" s="1"/>
      <x:c r="H82" s="1"/>
      <x:c r="I82" s="26"/>
      <x:c r="J82" s="26"/>
      <x:c r="K82" s="26"/>
      <x:c r="L82" s="1"/>
      <x:c r="M82" s="1"/>
      <x:c r="N82" s="1"/>
      <x:c r="O82" s="1"/>
      <x:c r="P82" s="1"/>
    </x:row>
    <x:row r="83" ht="34" customHeight="1">
      <x:c r="A83" s="1"/>
      <x:c r="B83" s="1"/>
      <x:c r="C83" s="14" t="str">
        <x:v>Delivery transactions/day · active</x:v>
      </x:c>
      <x:c r="D83" s="14"/>
      <x:c r="E83" s="16" t="n">
        <x:f>IF(ISNUMBER(CHOOSE($E$4,E84,E85,E86)),CHOOSE($E$4,E84,E85,E86),"Missing input")</x:f>
        <x:v>12</x:v>
      </x:c>
      <x:c r="F83" s="14" t="str">
        <x:v>orders</x:v>
      </x:c>
      <x:c r="G83" s="14"/>
      <x:c r="H83" s="1"/>
      <x:c r="I83" s="26" t="str">
        <x:v>App delivery, separate from direct takeaway.</x:v>
      </x:c>
      <x:c r="J83" s="26"/>
      <x:c r="K83" s="26"/>
      <x:c r="L83" s="1"/>
      <x:c r="M83" s="1"/>
      <x:c r="N83" s="1"/>
      <x:c r="O83" s="1"/>
      <x:c r="P83" s="1"/>
    </x:row>
    <x:row r="84" ht="34" customHeight="1">
      <x:c r="A84" s="1"/>
      <x:c r="B84" s="1"/>
      <x:c r="C84" s="1" t="str">
        <x:v>Downside</x:v>
      </x:c>
      <x:c r="D84" s="1"/>
      <x:c r="E84" s="10" t="n">
        <x:v>7</x:v>
      </x:c>
      <x:c r="F84" s="1"/>
      <x:c r="G84" s="1"/>
      <x:c r="H84" s="1"/>
      <x:c r="I84" s="26"/>
      <x:c r="J84" s="26"/>
      <x:c r="K84" s="26"/>
      <x:c r="L84" s="1"/>
      <x:c r="M84" s="1"/>
      <x:c r="N84" s="1"/>
      <x:c r="O84" s="1"/>
      <x:c r="P84" s="1"/>
    </x:row>
    <x:row r="85" ht="34" customHeight="1">
      <x:c r="A85" s="1"/>
      <x:c r="B85" s="1"/>
      <x:c r="C85" s="1" t="str">
        <x:v>Base</x:v>
      </x:c>
      <x:c r="D85" s="1"/>
      <x:c r="E85" s="10" t="n">
        <x:v>12</x:v>
      </x:c>
      <x:c r="F85" s="1"/>
      <x:c r="G85" s="1"/>
      <x:c r="H85" s="1"/>
      <x:c r="I85" s="26"/>
      <x:c r="J85" s="26"/>
      <x:c r="K85" s="26"/>
      <x:c r="L85" s="1"/>
      <x:c r="M85" s="1"/>
      <x:c r="N85" s="1"/>
      <x:c r="O85" s="1"/>
      <x:c r="P85" s="1"/>
    </x:row>
    <x:row r="86" ht="34" customHeight="1">
      <x:c r="A86" s="1"/>
      <x:c r="B86" s="1"/>
      <x:c r="C86" s="1" t="str">
        <x:v>Upside</x:v>
      </x:c>
      <x:c r="D86" s="1"/>
      <x:c r="E86" s="10" t="n">
        <x:v>18</x:v>
      </x:c>
      <x:c r="F86" s="1"/>
      <x:c r="G86" s="1"/>
      <x:c r="H86" s="1"/>
      <x:c r="I86" s="26"/>
      <x:c r="J86" s="26"/>
      <x:c r="K86" s="26"/>
      <x:c r="L86" s="1"/>
      <x:c r="M86" s="1"/>
      <x:c r="N86" s="1"/>
      <x:c r="O86" s="1"/>
      <x:c r="P86" s="1"/>
    </x:row>
    <x:row r="87" ht="34" customHeight="1">
      <x:c r="A87" s="1"/>
      <x:c r="B87" s="1"/>
      <x:c r="C87" s="1"/>
      <x:c r="D87" s="1"/>
      <x:c r="E87" s="1"/>
      <x:c r="F87" s="1"/>
      <x:c r="G87" s="1"/>
      <x:c r="H87" s="1"/>
      <x:c r="I87" s="26"/>
      <x:c r="J87" s="26"/>
      <x:c r="K87" s="26"/>
      <x:c r="L87" s="1"/>
      <x:c r="M87" s="1"/>
      <x:c r="N87" s="1"/>
      <x:c r="O87" s="1"/>
      <x:c r="P87" s="1"/>
    </x:row>
    <x:row r="88" ht="34" customHeight="1">
      <x:c r="A88" s="1"/>
      <x:c r="B88" s="1"/>
      <x:c r="C88" s="14" t="str">
        <x:v>dineAov · derived from Baskets</x:v>
      </x:c>
      <x:c r="D88" s="14"/>
      <x:c r="E88" s="28" t="n">
        <x:f>'Baskets'!F66</x:f>
        <x:v>101487.5</x:v>
      </x:c>
      <x:c r="F88" s="14" t="str">
        <x:v>IDR</x:v>
      </x:c>
      <x:c r="G88" s="14"/>
      <x:c r="H88" s="1"/>
      <x:c r="I88" s="26" t="str">
        <x:v>Derived from selected purchase shares, menu mix and price. Edit Baskets / Menu costing.</x:v>
      </x:c>
      <x:c r="J88" s="26"/>
      <x:c r="K88" s="26"/>
      <x:c r="L88" s="1"/>
      <x:c r="M88" s="1"/>
      <x:c r="N88" s="1"/>
      <x:c r="O88" s="1"/>
      <x:c r="P88" s="1"/>
    </x:row>
    <x:row r="89" ht="34" customHeight="1">
      <x:c r="A89" s="1"/>
      <x:c r="B89" s="1"/>
      <x:c r="C89" s="1" t="str"/>
      <x:c r="D89" s="1"/>
      <x:c r="E89" s="29"/>
      <x:c r="F89" s="1"/>
      <x:c r="G89" s="1"/>
      <x:c r="H89" s="1"/>
      <x:c r="I89" s="26"/>
      <x:c r="J89" s="26"/>
      <x:c r="K89" s="26"/>
      <x:c r="L89" s="1"/>
      <x:c r="M89" s="1"/>
      <x:c r="N89" s="1"/>
      <x:c r="O89" s="1"/>
      <x:c r="P89" s="1"/>
    </x:row>
    <x:row r="90" ht="34" customHeight="1">
      <x:c r="A90" s="1"/>
      <x:c r="B90" s="1"/>
      <x:c r="C90" s="1" t="str"/>
      <x:c r="D90" s="1"/>
      <x:c r="E90" s="29"/>
      <x:c r="F90" s="1"/>
      <x:c r="G90" s="1"/>
      <x:c r="H90" s="1"/>
      <x:c r="I90" s="26"/>
      <x:c r="J90" s="26"/>
      <x:c r="K90" s="26"/>
      <x:c r="L90" s="1"/>
      <x:c r="M90" s="1"/>
      <x:c r="N90" s="1"/>
      <x:c r="O90" s="1"/>
      <x:c r="P90" s="1"/>
    </x:row>
    <x:row r="91" ht="34" customHeight="1">
      <x:c r="A91" s="1"/>
      <x:c r="B91" s="1"/>
      <x:c r="C91" s="1" t="str"/>
      <x:c r="D91" s="1"/>
      <x:c r="E91" s="29"/>
      <x:c r="F91" s="1"/>
      <x:c r="G91" s="1"/>
      <x:c r="H91" s="1"/>
      <x:c r="I91" s="26"/>
      <x:c r="J91" s="26"/>
      <x:c r="K91" s="26"/>
      <x:c r="L91" s="1"/>
      <x:c r="M91" s="1"/>
      <x:c r="N91" s="1"/>
      <x:c r="O91" s="1"/>
      <x:c r="P91" s="1"/>
    </x:row>
    <x:row r="92" ht="34" customHeight="1">
      <x:c r="A92" s="1"/>
      <x:c r="B92" s="1"/>
      <x:c r="C92" s="1"/>
      <x:c r="D92" s="1"/>
      <x:c r="E92" s="1"/>
      <x:c r="F92" s="1"/>
      <x:c r="G92" s="1"/>
      <x:c r="H92" s="1"/>
      <x:c r="I92" s="26"/>
      <x:c r="J92" s="26"/>
      <x:c r="K92" s="26"/>
      <x:c r="L92" s="1"/>
      <x:c r="M92" s="1"/>
      <x:c r="N92" s="1"/>
      <x:c r="O92" s="1"/>
      <x:c r="P92" s="1"/>
    </x:row>
    <x:row r="93" ht="34" customHeight="1">
      <x:c r="A93" s="1"/>
      <x:c r="B93" s="1"/>
      <x:c r="C93" s="14" t="str">
        <x:v>takeAov · derived from Baskets</x:v>
      </x:c>
      <x:c r="D93" s="14"/>
      <x:c r="E93" s="28" t="n">
        <x:f>'Baskets'!F67</x:f>
        <x:v>101487.5</x:v>
      </x:c>
      <x:c r="F93" s="14" t="str">
        <x:v>IDR</x:v>
      </x:c>
      <x:c r="G93" s="14"/>
      <x:c r="H93" s="1"/>
      <x:c r="I93" s="26" t="str">
        <x:v>Derived from selected purchase shares, menu mix and price. Edit Baskets / Menu costing.</x:v>
      </x:c>
      <x:c r="J93" s="26"/>
      <x:c r="K93" s="26"/>
      <x:c r="L93" s="1"/>
      <x:c r="M93" s="1"/>
      <x:c r="N93" s="1"/>
      <x:c r="O93" s="1"/>
      <x:c r="P93" s="1"/>
    </x:row>
    <x:row r="94" ht="34" customHeight="1">
      <x:c r="A94" s="1"/>
      <x:c r="B94" s="1"/>
      <x:c r="C94" s="1" t="str"/>
      <x:c r="D94" s="1"/>
      <x:c r="E94" s="29"/>
      <x:c r="F94" s="1"/>
      <x:c r="G94" s="1"/>
      <x:c r="H94" s="1"/>
      <x:c r="I94" s="26"/>
      <x:c r="J94" s="26"/>
      <x:c r="K94" s="26"/>
      <x:c r="L94" s="1"/>
      <x:c r="M94" s="1"/>
      <x:c r="N94" s="1"/>
      <x:c r="O94" s="1"/>
      <x:c r="P94" s="1"/>
    </x:row>
    <x:row r="95" ht="34" customHeight="1">
      <x:c r="A95" s="1"/>
      <x:c r="B95" s="1"/>
      <x:c r="C95" s="1" t="str"/>
      <x:c r="D95" s="1"/>
      <x:c r="E95" s="29"/>
      <x:c r="F95" s="1"/>
      <x:c r="G95" s="1"/>
      <x:c r="H95" s="1"/>
      <x:c r="I95" s="26"/>
      <x:c r="J95" s="26"/>
      <x:c r="K95" s="26"/>
      <x:c r="L95" s="1"/>
      <x:c r="M95" s="1"/>
      <x:c r="N95" s="1"/>
      <x:c r="O95" s="1"/>
      <x:c r="P95" s="1"/>
    </x:row>
    <x:row r="96" ht="34" customHeight="1">
      <x:c r="A96" s="1"/>
      <x:c r="B96" s="1"/>
      <x:c r="C96" s="1" t="str"/>
      <x:c r="D96" s="1"/>
      <x:c r="E96" s="29"/>
      <x:c r="F96" s="1"/>
      <x:c r="G96" s="1"/>
      <x:c r="H96" s="1"/>
      <x:c r="I96" s="26"/>
      <x:c r="J96" s="26"/>
      <x:c r="K96" s="26"/>
      <x:c r="L96" s="1"/>
      <x:c r="M96" s="1"/>
      <x:c r="N96" s="1"/>
      <x:c r="O96" s="1"/>
      <x:c r="P96" s="1"/>
    </x:row>
    <x:row r="97" ht="34" customHeight="1">
      <x:c r="A97" s="1"/>
      <x:c r="B97" s="1"/>
      <x:c r="C97" s="1"/>
      <x:c r="D97" s="1"/>
      <x:c r="E97" s="1"/>
      <x:c r="F97" s="1"/>
      <x:c r="G97" s="1"/>
      <x:c r="H97" s="1"/>
      <x:c r="I97" s="26"/>
      <x:c r="J97" s="26"/>
      <x:c r="K97" s="26"/>
      <x:c r="L97" s="1"/>
      <x:c r="M97" s="1"/>
      <x:c r="N97" s="1"/>
      <x:c r="O97" s="1"/>
      <x:c r="P97" s="1"/>
    </x:row>
    <x:row r="98" ht="34" customHeight="1">
      <x:c r="A98" s="1"/>
      <x:c r="B98" s="1"/>
      <x:c r="C98" s="14" t="str">
        <x:v>deliveryAov · derived from Baskets</x:v>
      </x:c>
      <x:c r="D98" s="14"/>
      <x:c r="E98" s="28" t="n">
        <x:f>'Baskets'!F68</x:f>
        <x:v>149241.25</x:v>
      </x:c>
      <x:c r="F98" s="14" t="str">
        <x:v>IDR</x:v>
      </x:c>
      <x:c r="G98" s="14"/>
      <x:c r="H98" s="1"/>
      <x:c r="I98" s="26" t="str">
        <x:v>Derived from selected purchase shares, menu mix and price. Edit Baskets / Menu costing.</x:v>
      </x:c>
      <x:c r="J98" s="26"/>
      <x:c r="K98" s="26"/>
      <x:c r="L98" s="1"/>
      <x:c r="M98" s="1"/>
      <x:c r="N98" s="1"/>
      <x:c r="O98" s="1"/>
      <x:c r="P98" s="1"/>
    </x:row>
    <x:row r="99" ht="34" customHeight="1">
      <x:c r="A99" s="1"/>
      <x:c r="B99" s="1"/>
      <x:c r="C99" s="1" t="str"/>
      <x:c r="D99" s="1"/>
      <x:c r="E99" s="29"/>
      <x:c r="F99" s="1"/>
      <x:c r="G99" s="1"/>
      <x:c r="H99" s="1"/>
      <x:c r="I99" s="26"/>
      <x:c r="J99" s="26"/>
      <x:c r="K99" s="26"/>
      <x:c r="L99" s="1"/>
      <x:c r="M99" s="1"/>
      <x:c r="N99" s="1"/>
      <x:c r="O99" s="1"/>
      <x:c r="P99" s="1"/>
    </x:row>
    <x:row r="100" ht="34" customHeight="1">
      <x:c r="A100" s="1"/>
      <x:c r="B100" s="1"/>
      <x:c r="C100" s="1" t="str"/>
      <x:c r="D100" s="1"/>
      <x:c r="E100" s="29"/>
      <x:c r="F100" s="1"/>
      <x:c r="G100" s="1"/>
      <x:c r="H100" s="1"/>
      <x:c r="I100" s="26"/>
      <x:c r="J100" s="26"/>
      <x:c r="K100" s="26"/>
      <x:c r="L100" s="1"/>
      <x:c r="M100" s="1"/>
      <x:c r="N100" s="1"/>
      <x:c r="O100" s="1"/>
      <x:c r="P100" s="1"/>
    </x:row>
    <x:row r="101" ht="34" customHeight="1">
      <x:c r="A101" s="1"/>
      <x:c r="B101" s="1"/>
      <x:c r="C101" s="1" t="str"/>
      <x:c r="D101" s="1"/>
      <x:c r="E101" s="29"/>
      <x:c r="F101" s="1"/>
      <x:c r="G101" s="1"/>
      <x:c r="H101" s="1"/>
      <x:c r="I101" s="26"/>
      <x:c r="J101" s="26"/>
      <x:c r="K101" s="26"/>
      <x:c r="L101" s="1"/>
      <x:c r="M101" s="1"/>
      <x:c r="N101" s="1"/>
      <x:c r="O101" s="1"/>
      <x:c r="P101" s="1"/>
    </x:row>
    <x:row r="102" ht="34" customHeight="1">
      <x:c r="A102" s="1"/>
      <x:c r="B102" s="1"/>
      <x:c r="C102" s="1"/>
      <x:c r="D102" s="1"/>
      <x:c r="E102" s="1"/>
      <x:c r="F102" s="1"/>
      <x:c r="G102" s="1"/>
      <x:c r="H102" s="1"/>
      <x:c r="I102" s="26"/>
      <x:c r="J102" s="26"/>
      <x:c r="K102" s="26"/>
      <x:c r="L102" s="1"/>
      <x:c r="M102" s="1"/>
      <x:c r="N102" s="1"/>
      <x:c r="O102" s="1"/>
      <x:c r="P102" s="1"/>
    </x:row>
    <x:row r="103" ht="34" customHeight="1">
      <x:c r="A103" s="1"/>
      <x:c r="B103" s="1"/>
      <x:c r="C103" s="14" t="str">
        <x:v>Recipe cost multiplier · active</x:v>
      </x:c>
      <x:c r="D103" s="14"/>
      <x:c r="E103" s="16" t="n">
        <x:f>IF(ISNUMBER(CHOOSE($E$4,E104,E105,E106)),CHOOSE($E$4,E104,E105,E106),"Missing input")</x:f>
        <x:v>1</x:v>
      </x:c>
      <x:c r="F103" s="14" t="str">
        <x:v>multiple</x:v>
      </x:c>
      <x:c r="G103" s="14"/>
      <x:c r="H103" s="1"/>
      <x:c r="I103" s="26" t="str">
        <x:v>Unquoted recipes in Menu costing drive day ingredients; this tests buying/yield variation.</x:v>
      </x:c>
      <x:c r="J103" s="26"/>
      <x:c r="K103" s="26"/>
      <x:c r="L103" s="1"/>
      <x:c r="M103" s="1"/>
      <x:c r="N103" s="1"/>
      <x:c r="O103" s="1"/>
      <x:c r="P103" s="1"/>
    </x:row>
    <x:row r="104" ht="34" customHeight="1">
      <x:c r="A104" s="1"/>
      <x:c r="B104" s="1"/>
      <x:c r="C104" s="1" t="str">
        <x:v>Downside</x:v>
      </x:c>
      <x:c r="D104" s="1"/>
      <x:c r="E104" s="10" t="n">
        <x:v>1.1</x:v>
      </x:c>
      <x:c r="F104" s="1"/>
      <x:c r="G104" s="1"/>
      <x:c r="H104" s="1"/>
      <x:c r="I104" s="26"/>
      <x:c r="J104" s="26"/>
      <x:c r="K104" s="26"/>
      <x:c r="L104" s="1"/>
      <x:c r="M104" s="1"/>
      <x:c r="N104" s="1"/>
      <x:c r="O104" s="1"/>
      <x:c r="P104" s="1"/>
    </x:row>
    <x:row r="105" ht="34" customHeight="1">
      <x:c r="A105" s="1"/>
      <x:c r="B105" s="1"/>
      <x:c r="C105" s="1" t="str">
        <x:v>Base</x:v>
      </x:c>
      <x:c r="D105" s="1"/>
      <x:c r="E105" s="10" t="n">
        <x:v>1</x:v>
      </x:c>
      <x:c r="F105" s="1"/>
      <x:c r="G105" s="1"/>
      <x:c r="H105" s="1"/>
      <x:c r="I105" s="26"/>
      <x:c r="J105" s="26"/>
      <x:c r="K105" s="26"/>
      <x:c r="L105" s="1"/>
      <x:c r="M105" s="1"/>
      <x:c r="N105" s="1"/>
      <x:c r="O105" s="1"/>
      <x:c r="P105" s="1"/>
    </x:row>
    <x:row r="106" ht="34" customHeight="1">
      <x:c r="A106" s="1"/>
      <x:c r="B106" s="1"/>
      <x:c r="C106" s="1" t="str">
        <x:v>Upside</x:v>
      </x:c>
      <x:c r="D106" s="1"/>
      <x:c r="E106" s="10" t="n">
        <x:v>0.95</x:v>
      </x:c>
      <x:c r="F106" s="1"/>
      <x:c r="G106" s="1"/>
      <x:c r="H106" s="1"/>
      <x:c r="I106" s="26"/>
      <x:c r="J106" s="26"/>
      <x:c r="K106" s="26"/>
      <x:c r="L106" s="1"/>
      <x:c r="M106" s="1"/>
      <x:c r="N106" s="1"/>
      <x:c r="O106" s="1"/>
      <x:c r="P106" s="1"/>
    </x:row>
    <x:row r="107" ht="34" customHeight="1">
      <x:c r="A107" s="1"/>
      <x:c r="B107" s="1"/>
      <x:c r="C107" s="1"/>
      <x:c r="D107" s="1"/>
      <x:c r="E107" s="1"/>
      <x:c r="F107" s="1"/>
      <x:c r="G107" s="1"/>
      <x:c r="H107" s="1"/>
      <x:c r="I107" s="26"/>
      <x:c r="J107" s="26"/>
      <x:c r="K107" s="26"/>
      <x:c r="L107" s="1"/>
      <x:c r="M107" s="1"/>
      <x:c r="N107" s="1"/>
      <x:c r="O107" s="1"/>
      <x:c r="P107" s="1"/>
    </x:row>
    <x:row r="108" ht="34" customHeight="1">
      <x:c r="A108" s="1"/>
      <x:c r="B108" s="1"/>
      <x:c r="C108" s="14" t="str">
        <x:v>Day waste / menu net sales · active</x:v>
      </x:c>
      <x:c r="D108" s="14"/>
      <x:c r="E108" s="17" t="n">
        <x:f>IF(ISNUMBER(CHOOSE($E$4,E109,E110,E111)),CHOOSE($E$4,E109,E110,E111),"Missing input")</x:f>
        <x:v>0.03</x:v>
      </x:c>
      <x:c r="F108" s="14" t="str">
        <x:v>rate</x:v>
      </x:c>
      <x:c r="G108" s="14"/>
      <x:c r="H108" s="1"/>
      <x:c r="I108" s="26" t="str">
        <x:v>Additional waste over recipe cost, not a second ingredient percentage.</x:v>
      </x:c>
      <x:c r="J108" s="26"/>
      <x:c r="K108" s="26"/>
      <x:c r="L108" s="1"/>
      <x:c r="M108" s="1"/>
      <x:c r="N108" s="1"/>
      <x:c r="O108" s="1"/>
      <x:c r="P108" s="1"/>
    </x:row>
    <x:row r="109" ht="34" customHeight="1">
      <x:c r="A109" s="1"/>
      <x:c r="B109" s="1"/>
      <x:c r="C109" s="1" t="str">
        <x:v>Downside</x:v>
      </x:c>
      <x:c r="D109" s="1"/>
      <x:c r="E109" s="11" t="n">
        <x:v>0.04</x:v>
      </x:c>
      <x:c r="F109" s="1"/>
      <x:c r="G109" s="1"/>
      <x:c r="H109" s="1"/>
      <x:c r="I109" s="26"/>
      <x:c r="J109" s="26"/>
      <x:c r="K109" s="26"/>
      <x:c r="L109" s="1"/>
      <x:c r="M109" s="1"/>
      <x:c r="N109" s="1"/>
      <x:c r="O109" s="1"/>
      <x:c r="P109" s="1"/>
    </x:row>
    <x:row r="110" ht="34" customHeight="1">
      <x:c r="A110" s="1"/>
      <x:c r="B110" s="1"/>
      <x:c r="C110" s="1" t="str">
        <x:v>Base</x:v>
      </x:c>
      <x:c r="D110" s="1"/>
      <x:c r="E110" s="11" t="n">
        <x:v>0.03</x:v>
      </x:c>
      <x:c r="F110" s="1"/>
      <x:c r="G110" s="1"/>
      <x:c r="H110" s="1"/>
      <x:c r="I110" s="26"/>
      <x:c r="J110" s="26"/>
      <x:c r="K110" s="26"/>
      <x:c r="L110" s="1"/>
      <x:c r="M110" s="1"/>
      <x:c r="N110" s="1"/>
      <x:c r="O110" s="1"/>
      <x:c r="P110" s="1"/>
    </x:row>
    <x:row r="111" ht="34" customHeight="1">
      <x:c r="A111" s="1"/>
      <x:c r="B111" s="1"/>
      <x:c r="C111" s="1" t="str">
        <x:v>Upside</x:v>
      </x:c>
      <x:c r="D111" s="1"/>
      <x:c r="E111" s="11" t="n">
        <x:v>0.02</x:v>
      </x:c>
      <x:c r="F111" s="1"/>
      <x:c r="G111" s="1"/>
      <x:c r="H111" s="1"/>
      <x:c r="I111" s="26"/>
      <x:c r="J111" s="26"/>
      <x:c r="K111" s="26"/>
      <x:c r="L111" s="1"/>
      <x:c r="M111" s="1"/>
      <x:c r="N111" s="1"/>
      <x:c r="O111" s="1"/>
      <x:c r="P111" s="1"/>
    </x:row>
    <x:row r="112" ht="34" customHeight="1">
      <x:c r="A112" s="1"/>
      <x:c r="B112" s="1"/>
      <x:c r="C112" s="1"/>
      <x:c r="D112" s="1"/>
      <x:c r="E112" s="1"/>
      <x:c r="F112" s="1"/>
      <x:c r="G112" s="1"/>
      <x:c r="H112" s="1"/>
      <x:c r="I112" s="26"/>
      <x:c r="J112" s="26"/>
      <x:c r="K112" s="26"/>
      <x:c r="L112" s="1"/>
      <x:c r="M112" s="1"/>
      <x:c r="N112" s="1"/>
      <x:c r="O112" s="1"/>
      <x:c r="P112" s="1"/>
    </x:row>
    <x:row r="113" ht="34" customHeight="1">
      <x:c r="A113" s="1"/>
      <x:c r="B113" s="1"/>
      <x:c r="C113" s="14" t="str">
        <x:v>Night total orders/active night · active</x:v>
      </x:c>
      <x:c r="D113" s="14"/>
      <x:c r="E113" s="16" t="n">
        <x:f>IF(ISNUMBER(CHOOSE($E$4,E114,E115,E116)),CHOOSE($E$4,E114,E115,E116),"Missing input")</x:f>
        <x:v>40</x:v>
      </x:c>
      <x:c r="F113" s="14" t="str">
        <x:v>orders</x:v>
      </x:c>
      <x:c r="G113" s="14"/>
      <x:c r="H113" s="1"/>
      <x:c r="I113" s="26" t="str">
        <x:v>No assumed venue visitors or conversion embedded.</x:v>
      </x:c>
      <x:c r="J113" s="26"/>
      <x:c r="K113" s="26"/>
      <x:c r="L113" s="1"/>
      <x:c r="M113" s="1"/>
      <x:c r="N113" s="1"/>
      <x:c r="O113" s="1"/>
      <x:c r="P113" s="1"/>
    </x:row>
    <x:row r="114" ht="34" customHeight="1">
      <x:c r="A114" s="1"/>
      <x:c r="B114" s="1"/>
      <x:c r="C114" s="1" t="str">
        <x:v>Downside</x:v>
      </x:c>
      <x:c r="D114" s="1"/>
      <x:c r="E114" s="10" t="n">
        <x:v>20</x:v>
      </x:c>
      <x:c r="F114" s="1"/>
      <x:c r="G114" s="1"/>
      <x:c r="H114" s="1"/>
      <x:c r="I114" s="26"/>
      <x:c r="J114" s="26"/>
      <x:c r="K114" s="26"/>
      <x:c r="L114" s="1"/>
      <x:c r="M114" s="1"/>
      <x:c r="N114" s="1"/>
      <x:c r="O114" s="1"/>
      <x:c r="P114" s="1"/>
    </x:row>
    <x:row r="115" ht="34" customHeight="1">
      <x:c r="A115" s="1"/>
      <x:c r="B115" s="1"/>
      <x:c r="C115" s="1" t="str">
        <x:v>Base</x:v>
      </x:c>
      <x:c r="D115" s="1"/>
      <x:c r="E115" s="10" t="n">
        <x:v>40</x:v>
      </x:c>
      <x:c r="F115" s="1"/>
      <x:c r="G115" s="1"/>
      <x:c r="H115" s="1"/>
      <x:c r="I115" s="26"/>
      <x:c r="J115" s="26"/>
      <x:c r="K115" s="26"/>
      <x:c r="L115" s="1"/>
      <x:c r="M115" s="1"/>
      <x:c r="N115" s="1"/>
      <x:c r="O115" s="1"/>
      <x:c r="P115" s="1"/>
    </x:row>
    <x:row r="116" ht="34" customHeight="1">
      <x:c r="A116" s="1"/>
      <x:c r="B116" s="1"/>
      <x:c r="C116" s="1" t="str">
        <x:v>Upside</x:v>
      </x:c>
      <x:c r="D116" s="1"/>
      <x:c r="E116" s="10" t="n">
        <x:v>65</x:v>
      </x:c>
      <x:c r="F116" s="1"/>
      <x:c r="G116" s="1"/>
      <x:c r="H116" s="1"/>
      <x:c r="I116" s="26"/>
      <x:c r="J116" s="26"/>
      <x:c r="K116" s="26"/>
      <x:c r="L116" s="1"/>
      <x:c r="M116" s="1"/>
      <x:c r="N116" s="1"/>
      <x:c r="O116" s="1"/>
      <x:c r="P116" s="1"/>
    </x:row>
    <x:row r="117" ht="34" customHeight="1">
      <x:c r="A117" s="1"/>
      <x:c r="B117" s="1"/>
      <x:c r="C117" s="1"/>
      <x:c r="D117" s="1"/>
      <x:c r="E117" s="1"/>
      <x:c r="F117" s="1"/>
      <x:c r="G117" s="1"/>
      <x:c r="H117" s="1"/>
      <x:c r="I117" s="26"/>
      <x:c r="J117" s="26"/>
      <x:c r="K117" s="26"/>
      <x:c r="L117" s="1"/>
      <x:c r="M117" s="1"/>
      <x:c r="N117" s="1"/>
      <x:c r="O117" s="1"/>
      <x:c r="P117" s="1"/>
    </x:row>
    <x:row r="118" ht="34" customHeight="1">
      <x:c r="A118" s="1"/>
      <x:c r="B118" s="1"/>
      <x:c r="C118" s="14" t="str">
        <x:v>Night direct customer ticket · active</x:v>
      </x:c>
      <x:c r="D118" s="14"/>
      <x:c r="E118" s="16" t="n">
        <x:f>IF(ISNUMBER(CHOOSE($E$4,E119,E120,E121)),CHOOSE($E$4,E119,E120,E121),"Missing input")</x:f>
        <x:v>75000</x:v>
      </x:c>
      <x:c r="F118" s="14" t="str">
        <x:v>IDR</x:v>
      </x:c>
      <x:c r="G118" s="14"/>
      <x:c r="H118" s="1"/>
      <x:c r="I118" s="26" t="str">
        <x:v>Tax-inclusive before direct merchant discount.</x:v>
      </x:c>
      <x:c r="J118" s="26"/>
      <x:c r="K118" s="26"/>
      <x:c r="L118" s="1"/>
      <x:c r="M118" s="1"/>
      <x:c r="N118" s="1"/>
      <x:c r="O118" s="1"/>
      <x:c r="P118" s="1"/>
    </x:row>
    <x:row r="119" ht="34" customHeight="1">
      <x:c r="A119" s="1"/>
      <x:c r="B119" s="1"/>
      <x:c r="C119" s="1" t="str">
        <x:v>Downside</x:v>
      </x:c>
      <x:c r="D119" s="1"/>
      <x:c r="E119" s="10" t="n">
        <x:v>70000</x:v>
      </x:c>
      <x:c r="F119" s="1"/>
      <x:c r="G119" s="1"/>
      <x:c r="H119" s="1"/>
      <x:c r="I119" s="26"/>
      <x:c r="J119" s="26"/>
      <x:c r="K119" s="26"/>
      <x:c r="L119" s="1"/>
      <x:c r="M119" s="1"/>
      <x:c r="N119" s="1"/>
      <x:c r="O119" s="1"/>
      <x:c r="P119" s="1"/>
    </x:row>
    <x:row r="120" ht="34" customHeight="1">
      <x:c r="A120" s="1"/>
      <x:c r="B120" s="1"/>
      <x:c r="C120" s="1" t="str">
        <x:v>Base</x:v>
      </x:c>
      <x:c r="D120" s="1"/>
      <x:c r="E120" s="10" t="n">
        <x:v>75000</x:v>
      </x:c>
      <x:c r="F120" s="1"/>
      <x:c r="G120" s="1"/>
      <x:c r="H120" s="1"/>
      <x:c r="I120" s="26"/>
      <x:c r="J120" s="26"/>
      <x:c r="K120" s="26"/>
      <x:c r="L120" s="1"/>
      <x:c r="M120" s="1"/>
      <x:c r="N120" s="1"/>
      <x:c r="O120" s="1"/>
      <x:c r="P120" s="1"/>
    </x:row>
    <x:row r="121" ht="34" customHeight="1">
      <x:c r="A121" s="1"/>
      <x:c r="B121" s="1"/>
      <x:c r="C121" s="1" t="str">
        <x:v>Upside</x:v>
      </x:c>
      <x:c r="D121" s="1"/>
      <x:c r="E121" s="10" t="n">
        <x:v>80000</x:v>
      </x:c>
      <x:c r="F121" s="1"/>
      <x:c r="G121" s="1"/>
      <x:c r="H121" s="1"/>
      <x:c r="I121" s="26"/>
      <x:c r="J121" s="26"/>
      <x:c r="K121" s="26"/>
      <x:c r="L121" s="1"/>
      <x:c r="M121" s="1"/>
      <x:c r="N121" s="1"/>
      <x:c r="O121" s="1"/>
      <x:c r="P121" s="1"/>
    </x:row>
    <x:row r="122" ht="34" customHeight="1">
      <x:c r="A122" s="1"/>
      <x:c r="B122" s="1"/>
      <x:c r="C122" s="1"/>
      <x:c r="D122" s="1"/>
      <x:c r="E122" s="1"/>
      <x:c r="F122" s="1"/>
      <x:c r="G122" s="1"/>
      <x:c r="H122" s="1"/>
      <x:c r="I122" s="26"/>
      <x:c r="J122" s="26"/>
      <x:c r="K122" s="26"/>
      <x:c r="L122" s="1"/>
      <x:c r="M122" s="1"/>
      <x:c r="N122" s="1"/>
      <x:c r="O122" s="1"/>
      <x:c r="P122" s="1"/>
    </x:row>
    <x:row r="123" ht="34" customHeight="1">
      <x:c r="A123" s="1"/>
      <x:c r="B123" s="1"/>
      <x:c r="C123" s="14" t="str">
        <x:v>Night delivery customer ticket · active</x:v>
      </x:c>
      <x:c r="D123" s="14"/>
      <x:c r="E123" s="16" t="n">
        <x:f>IF(ISNUMBER(CHOOSE($E$4,E124,E125,E126)),CHOOSE($E$4,E124,E125,E126),"Missing input")</x:f>
        <x:v>95000</x:v>
      </x:c>
      <x:c r="F123" s="14" t="str">
        <x:v>IDR</x:v>
      </x:c>
      <x:c r="G123" s="14"/>
      <x:c r="H123" s="1"/>
      <x:c r="I123" s="26" t="str">
        <x:v>Tax-inclusive before delivery discount.</x:v>
      </x:c>
      <x:c r="J123" s="26"/>
      <x:c r="K123" s="26"/>
      <x:c r="L123" s="1"/>
      <x:c r="M123" s="1"/>
      <x:c r="N123" s="1"/>
      <x:c r="O123" s="1"/>
      <x:c r="P123" s="1"/>
    </x:row>
    <x:row r="124" ht="34" customHeight="1">
      <x:c r="A124" s="1"/>
      <x:c r="B124" s="1"/>
      <x:c r="C124" s="1" t="str">
        <x:v>Downside</x:v>
      </x:c>
      <x:c r="D124" s="1"/>
      <x:c r="E124" s="10" t="n">
        <x:v>85000</x:v>
      </x:c>
      <x:c r="F124" s="1"/>
      <x:c r="G124" s="1"/>
      <x:c r="H124" s="1"/>
      <x:c r="I124" s="26"/>
      <x:c r="J124" s="26"/>
      <x:c r="K124" s="26"/>
      <x:c r="L124" s="1"/>
      <x:c r="M124" s="1"/>
      <x:c r="N124" s="1"/>
      <x:c r="O124" s="1"/>
      <x:c r="P124" s="1"/>
    </x:row>
    <x:row r="125" ht="34" customHeight="1">
      <x:c r="A125" s="1"/>
      <x:c r="B125" s="1"/>
      <x:c r="C125" s="1" t="str">
        <x:v>Base</x:v>
      </x:c>
      <x:c r="D125" s="1"/>
      <x:c r="E125" s="10" t="n">
        <x:v>95000</x:v>
      </x:c>
      <x:c r="F125" s="1"/>
      <x:c r="G125" s="1"/>
      <x:c r="H125" s="1"/>
      <x:c r="I125" s="26"/>
      <x:c r="J125" s="26"/>
      <x:c r="K125" s="26"/>
      <x:c r="L125" s="1"/>
      <x:c r="M125" s="1"/>
      <x:c r="N125" s="1"/>
      <x:c r="O125" s="1"/>
      <x:c r="P125" s="1"/>
    </x:row>
    <x:row r="126" ht="34" customHeight="1">
      <x:c r="A126" s="1"/>
      <x:c r="B126" s="1"/>
      <x:c r="C126" s="1" t="str">
        <x:v>Upside</x:v>
      </x:c>
      <x:c r="D126" s="1"/>
      <x:c r="E126" s="10" t="n">
        <x:v>105000</x:v>
      </x:c>
      <x:c r="F126" s="1"/>
      <x:c r="G126" s="1"/>
      <x:c r="H126" s="1"/>
      <x:c r="I126" s="26"/>
      <x:c r="J126" s="26"/>
      <x:c r="K126" s="26"/>
      <x:c r="L126" s="1"/>
      <x:c r="M126" s="1"/>
      <x:c r="N126" s="1"/>
      <x:c r="O126" s="1"/>
      <x:c r="P126" s="1"/>
    </x:row>
    <x:row r="127" ht="34" customHeight="1">
      <x:c r="A127" s="1"/>
      <x:c r="B127" s="1"/>
      <x:c r="C127" s="1"/>
      <x:c r="D127" s="1"/>
      <x:c r="E127" s="1"/>
      <x:c r="F127" s="1"/>
      <x:c r="G127" s="1"/>
      <x:c r="H127" s="1"/>
      <x:c r="I127" s="26"/>
      <x:c r="J127" s="26"/>
      <x:c r="K127" s="26"/>
      <x:c r="L127" s="1"/>
      <x:c r="M127" s="1"/>
      <x:c r="N127" s="1"/>
      <x:c r="O127" s="1"/>
      <x:c r="P127" s="1"/>
    </x:row>
    <x:row r="128" ht="34" customHeight="1">
      <x:c r="A128" s="1"/>
      <x:c r="B128" s="1"/>
      <x:c r="C128" s="14" t="str">
        <x:v>Night ingredient / menu net sales · active</x:v>
      </x:c>
      <x:c r="D128" s="14"/>
      <x:c r="E128" s="17" t="n">
        <x:f>IF(ISNUMBER(CHOOSE($E$4,E129,E130,E131)),CHOOSE($E$4,E129,E130,E131),"Missing input")</x:f>
        <x:v>0.36</x:v>
      </x:c>
      <x:c r="F128" s="14" t="str">
        <x:v>rate</x:v>
      </x:c>
      <x:c r="G128" s="14"/>
      <x:c r="H128" s="1"/>
      <x:c r="I128" s="26" t="str">
        <x:v>Shared prepared ingredients; validate holding, yield and portions.</x:v>
      </x:c>
      <x:c r="J128" s="26"/>
      <x:c r="K128" s="26"/>
      <x:c r="L128" s="1"/>
      <x:c r="M128" s="1"/>
      <x:c r="N128" s="1"/>
      <x:c r="O128" s="1"/>
      <x:c r="P128" s="1"/>
    </x:row>
    <x:row r="129" ht="34" customHeight="1">
      <x:c r="A129" s="1"/>
      <x:c r="B129" s="1"/>
      <x:c r="C129" s="1" t="str">
        <x:v>Downside</x:v>
      </x:c>
      <x:c r="D129" s="1"/>
      <x:c r="E129" s="11" t="n">
        <x:v>0.4</x:v>
      </x:c>
      <x:c r="F129" s="1"/>
      <x:c r="G129" s="1"/>
      <x:c r="H129" s="1"/>
      <x:c r="I129" s="26"/>
      <x:c r="J129" s="26"/>
      <x:c r="K129" s="26"/>
      <x:c r="L129" s="1"/>
      <x:c r="M129" s="1"/>
      <x:c r="N129" s="1"/>
      <x:c r="O129" s="1"/>
      <x:c r="P129" s="1"/>
    </x:row>
    <x:row r="130" ht="34" customHeight="1">
      <x:c r="A130" s="1"/>
      <x:c r="B130" s="1"/>
      <x:c r="C130" s="1" t="str">
        <x:v>Base</x:v>
      </x:c>
      <x:c r="D130" s="1"/>
      <x:c r="E130" s="11" t="n">
        <x:v>0.36</x:v>
      </x:c>
      <x:c r="F130" s="1"/>
      <x:c r="G130" s="1"/>
      <x:c r="H130" s="1"/>
      <x:c r="I130" s="26"/>
      <x:c r="J130" s="26"/>
      <x:c r="K130" s="26"/>
      <x:c r="L130" s="1"/>
      <x:c r="M130" s="1"/>
      <x:c r="N130" s="1"/>
      <x:c r="O130" s="1"/>
      <x:c r="P130" s="1"/>
    </x:row>
    <x:row r="131" ht="34" customHeight="1">
      <x:c r="A131" s="1"/>
      <x:c r="B131" s="1"/>
      <x:c r="C131" s="1" t="str">
        <x:v>Upside</x:v>
      </x:c>
      <x:c r="D131" s="1"/>
      <x:c r="E131" s="11" t="n">
        <x:v>0.33</x:v>
      </x:c>
      <x:c r="F131" s="1"/>
      <x:c r="G131" s="1"/>
      <x:c r="H131" s="1"/>
      <x:c r="I131" s="26"/>
      <x:c r="J131" s="26"/>
      <x:c r="K131" s="26"/>
      <x:c r="L131" s="1"/>
      <x:c r="M131" s="1"/>
      <x:c r="N131" s="1"/>
      <x:c r="O131" s="1"/>
      <x:c r="P131" s="1"/>
    </x:row>
    <x:row r="132" ht="34" customHeight="1">
      <x:c r="A132" s="1"/>
      <x:c r="B132" s="1"/>
      <x:c r="C132" s="1"/>
      <x:c r="D132" s="1"/>
      <x:c r="E132" s="1"/>
      <x:c r="F132" s="1"/>
      <x:c r="G132" s="1"/>
      <x:c r="H132" s="1"/>
      <x:c r="I132" s="26"/>
      <x:c r="J132" s="26"/>
      <x:c r="K132" s="26"/>
      <x:c r="L132" s="1"/>
      <x:c r="M132" s="1"/>
      <x:c r="N132" s="1"/>
      <x:c r="O132" s="1"/>
      <x:c r="P132" s="1"/>
    </x:row>
    <x:row r="133" ht="34" customHeight="1">
      <x:c r="A133" s="1"/>
      <x:c r="B133" s="1"/>
      <x:c r="C133" s="14" t="str">
        <x:v>Night waste / menu net sales · active</x:v>
      </x:c>
      <x:c r="D133" s="14"/>
      <x:c r="E133" s="17" t="n">
        <x:f>IF(ISNUMBER(CHOOSE($E$4,E134,E135,E136)),CHOOSE($E$4,E134,E135,E136),"Missing input")</x:f>
        <x:v>0.03</x:v>
      </x:c>
      <x:c r="F133" s="14" t="str">
        <x:v>rate</x:v>
      </x:c>
      <x:c r="G133" s="14"/>
      <x:c r="H133" s="1"/>
      <x:c r="I133" s="26" t="str">
        <x:v>Night production-specific waste.</x:v>
      </x:c>
      <x:c r="J133" s="26"/>
      <x:c r="K133" s="26"/>
      <x:c r="L133" s="1"/>
      <x:c r="M133" s="1"/>
      <x:c r="N133" s="1"/>
      <x:c r="O133" s="1"/>
      <x:c r="P133" s="1"/>
    </x:row>
    <x:row r="134" ht="34" customHeight="1">
      <x:c r="A134" s="1"/>
      <x:c r="B134" s="1"/>
      <x:c r="C134" s="1" t="str">
        <x:v>Downside</x:v>
      </x:c>
      <x:c r="D134" s="1"/>
      <x:c r="E134" s="11" t="n">
        <x:v>0.05</x:v>
      </x:c>
      <x:c r="F134" s="1"/>
      <x:c r="G134" s="1"/>
      <x:c r="H134" s="1"/>
      <x:c r="I134" s="26"/>
      <x:c r="J134" s="26"/>
      <x:c r="K134" s="26"/>
      <x:c r="L134" s="1"/>
      <x:c r="M134" s="1"/>
      <x:c r="N134" s="1"/>
      <x:c r="O134" s="1"/>
      <x:c r="P134" s="1"/>
    </x:row>
    <x:row r="135" ht="34" customHeight="1">
      <x:c r="A135" s="1"/>
      <x:c r="B135" s="1"/>
      <x:c r="C135" s="1" t="str">
        <x:v>Base</x:v>
      </x:c>
      <x:c r="D135" s="1"/>
      <x:c r="E135" s="11" t="n">
        <x:v>0.03</x:v>
      </x:c>
      <x:c r="F135" s="1"/>
      <x:c r="G135" s="1"/>
      <x:c r="H135" s="1"/>
      <x:c r="I135" s="26"/>
      <x:c r="J135" s="26"/>
      <x:c r="K135" s="26"/>
      <x:c r="L135" s="1"/>
      <x:c r="M135" s="1"/>
      <x:c r="N135" s="1"/>
      <x:c r="O135" s="1"/>
      <x:c r="P135" s="1"/>
    </x:row>
    <x:row r="136" ht="34" customHeight="1">
      <x:c r="A136" s="1"/>
      <x:c r="B136" s="1"/>
      <x:c r="C136" s="1" t="str">
        <x:v>Upside</x:v>
      </x:c>
      <x:c r="D136" s="1"/>
      <x:c r="E136" s="11" t="n">
        <x:v>0.02</x:v>
      </x:c>
      <x:c r="F136" s="1"/>
      <x:c r="G136" s="1"/>
      <x:c r="H136" s="1"/>
      <x:c r="I136" s="26"/>
      <x:c r="J136" s="26"/>
      <x:c r="K136" s="26"/>
      <x:c r="L136" s="1"/>
      <x:c r="M136" s="1"/>
      <x:c r="N136" s="1"/>
      <x:c r="O136" s="1"/>
      <x:c r="P136" s="1"/>
    </x:row>
    <x:row r="137" ht="34" customHeight="1">
      <x:c r="A137" s="1"/>
      <x:c r="B137" s="1"/>
      <x:c r="C137" s="1"/>
      <x:c r="D137" s="1"/>
      <x:c r="E137" s="1"/>
      <x:c r="F137" s="1"/>
      <x:c r="G137" s="1"/>
      <x:c r="H137" s="1"/>
      <x:c r="I137" s="26"/>
      <x:c r="J137" s="26"/>
      <x:c r="K137" s="26"/>
      <x:c r="L137" s="1"/>
      <x:c r="M137" s="1"/>
      <x:c r="N137" s="1"/>
      <x:c r="O137" s="1"/>
      <x:c r="P137" s="1"/>
    </x:row>
    <x:row r="138" ht="34" customHeight="1">
      <x:c r="A138" s="1"/>
      <x:c r="B138" s="1"/>
      <x:c r="C138" s="1"/>
      <x:c r="D138" s="1"/>
      <x:c r="E138" s="1"/>
      <x:c r="F138" s="1"/>
      <x:c r="G138" s="1"/>
      <x:c r="H138" s="1"/>
      <x:c r="I138" s="26"/>
      <x:c r="J138" s="26"/>
      <x:c r="K138" s="26"/>
      <x:c r="L138" s="1"/>
      <x:c r="M138" s="1"/>
      <x:c r="N138" s="1"/>
      <x:c r="O138" s="1"/>
      <x:c r="P138" s="1"/>
    </x:row>
    <x:row r="139" ht="34" customHeight="1">
      <x:c r="A139" s="1"/>
      <x:c r="B139" s="1"/>
      <x:c r="C139" s="1"/>
      <x:c r="D139" s="1"/>
      <x:c r="E139" s="1"/>
      <x:c r="F139" s="1"/>
      <x:c r="G139" s="1"/>
      <x:c r="H139" s="1"/>
      <x:c r="I139" s="26"/>
      <x:c r="J139" s="26"/>
      <x:c r="K139" s="26"/>
      <x:c r="L139" s="1"/>
      <x:c r="M139" s="1"/>
      <x:c r="N139" s="1"/>
      <x:c r="O139" s="1"/>
      <x:c r="P139" s="1"/>
    </x:row>
    <x:row r="140" ht="34" customHeight="1">
      <x:c r="A140" s="1"/>
      <x:c r="B140" s="1"/>
      <x:c r="C140" s="1"/>
      <x:c r="D140" s="1"/>
      <x:c r="E140" s="1"/>
      <x:c r="F140" s="1"/>
      <x:c r="G140" s="1"/>
      <x:c r="H140" s="1"/>
      <x:c r="I140" s="26"/>
      <x:c r="J140" s="26"/>
      <x:c r="K140" s="26"/>
      <x:c r="L140" s="1"/>
      <x:c r="M140" s="1"/>
      <x:c r="N140" s="1"/>
      <x:c r="O140" s="1"/>
      <x:c r="P140" s="1"/>
    </x:row>
    <x:row r="141" ht="34" customHeight="1">
      <x:c r="A141" s="1"/>
      <x:c r="B141" s="1"/>
      <x:c r="C141" s="1"/>
      <x:c r="D141" s="1"/>
      <x:c r="E141" s="1"/>
      <x:c r="F141" s="1"/>
      <x:c r="G141" s="1"/>
      <x:c r="H141" s="1"/>
      <x:c r="I141" s="26"/>
      <x:c r="J141" s="26"/>
      <x:c r="K141" s="26"/>
      <x:c r="L141" s="1"/>
      <x:c r="M141" s="1"/>
      <x:c r="N141" s="1"/>
      <x:c r="O141" s="1"/>
      <x:c r="P141" s="1"/>
    </x:row>
    <x:row r="142" ht="34" customHeight="1">
      <x:c r="A142" s="1"/>
      <x:c r="B142" s="1"/>
      <x:c r="C142" s="1"/>
      <x:c r="D142" s="1"/>
      <x:c r="E142" s="1"/>
      <x:c r="F142" s="1"/>
      <x:c r="G142" s="1"/>
      <x:c r="H142" s="1"/>
      <x:c r="I142" s="26"/>
      <x:c r="J142" s="26"/>
      <x:c r="K142" s="26"/>
      <x:c r="L142" s="1"/>
      <x:c r="M142" s="1"/>
      <x:c r="N142" s="1"/>
      <x:c r="O142" s="1"/>
      <x:c r="P142" s="1"/>
    </x:row>
    <x:row r="143" ht="34" customHeight="1">
      <x:c r="A143" s="1"/>
      <x:c r="B143" s="1"/>
      <x:c r="C143" s="1"/>
      <x:c r="D143" s="1"/>
      <x:c r="E143" s="1"/>
      <x:c r="F143" s="1"/>
      <x:c r="G143" s="1"/>
      <x:c r="H143" s="1"/>
      <x:c r="I143" s="26"/>
      <x:c r="J143" s="26"/>
      <x:c r="K143" s="26"/>
      <x:c r="L143" s="1"/>
      <x:c r="M143" s="1"/>
      <x:c r="N143" s="1"/>
      <x:c r="O143" s="1"/>
      <x:c r="P143" s="1"/>
    </x:row>
    <x:row r="144" ht="34" customHeight="1">
      <x:c r="A144" s="1"/>
      <x:c r="B144" s="1"/>
      <x:c r="C144" s="1"/>
      <x:c r="D144" s="1"/>
      <x:c r="E144" s="1"/>
      <x:c r="F144" s="1"/>
      <x:c r="G144" s="1"/>
      <x:c r="H144" s="1"/>
      <x:c r="I144" s="26"/>
      <x:c r="J144" s="26"/>
      <x:c r="K144" s="26"/>
      <x:c r="L144" s="1"/>
      <x:c r="M144" s="1"/>
      <x:c r="N144" s="1"/>
      <x:c r="O144" s="1"/>
      <x:c r="P144" s="1"/>
    </x:row>
    <x:row r="145" ht="34" customHeight="1">
      <x:c r="A145" s="1"/>
      <x:c r="B145" s="1"/>
      <x:c r="C145" s="1"/>
      <x:c r="D145" s="1"/>
      <x:c r="E145" s="1"/>
      <x:c r="F145" s="1"/>
      <x:c r="G145" s="1"/>
      <x:c r="H145" s="1"/>
      <x:c r="I145" s="26"/>
      <x:c r="J145" s="26"/>
      <x:c r="K145" s="26"/>
      <x:c r="L145" s="1"/>
      <x:c r="M145" s="1"/>
      <x:c r="N145" s="1"/>
      <x:c r="O145" s="1"/>
      <x:c r="P145" s="1"/>
    </x:row>
    <x:row r="146" ht="34" customHeight="1">
      <x:c r="A146" s="1"/>
      <x:c r="B146" s="1"/>
      <x:c r="C146" s="1"/>
      <x:c r="D146" s="1"/>
      <x:c r="E146" s="1"/>
      <x:c r="F146" s="1"/>
      <x:c r="G146" s="1"/>
      <x:c r="H146" s="1"/>
      <x:c r="I146" s="26"/>
      <x:c r="J146" s="26"/>
      <x:c r="K146" s="26"/>
      <x:c r="L146" s="1"/>
      <x:c r="M146" s="1"/>
      <x:c r="N146" s="1"/>
      <x:c r="O146" s="1"/>
      <x:c r="P146" s="1"/>
    </x:row>
    <x:row r="147" ht="34" customHeight="1">
      <x:c r="A147" s="1"/>
      <x:c r="B147" s="1"/>
      <x:c r="C147" s="1"/>
      <x:c r="D147" s="1"/>
      <x:c r="E147" s="1"/>
      <x:c r="F147" s="1"/>
      <x:c r="G147" s="1"/>
      <x:c r="H147" s="1"/>
      <x:c r="I147" s="26"/>
      <x:c r="J147" s="26"/>
      <x:c r="K147" s="26"/>
      <x:c r="L147" s="1"/>
      <x:c r="M147" s="1"/>
      <x:c r="N147" s="1"/>
      <x:c r="O147" s="1"/>
      <x:c r="P147" s="1"/>
    </x:row>
    <x:row r="148" ht="34" customHeight="1">
      <x:c r="A148" s="1"/>
      <x:c r="B148" s="1"/>
      <x:c r="C148" s="1"/>
      <x:c r="D148" s="1"/>
      <x:c r="E148" s="1"/>
      <x:c r="F148" s="1"/>
      <x:c r="G148" s="1"/>
      <x:c r="H148" s="1"/>
      <x:c r="I148" s="26"/>
      <x:c r="J148" s="26"/>
      <x:c r="K148" s="26"/>
      <x:c r="L148" s="1"/>
      <x:c r="M148" s="1"/>
      <x:c r="N148" s="1"/>
      <x:c r="O148" s="1"/>
      <x:c r="P148" s="1"/>
    </x:row>
    <x:row r="149" ht="34" customHeight="1">
      <x:c r="A149" s="1"/>
      <x:c r="B149" s="1"/>
      <x:c r="C149" s="1"/>
      <x:c r="D149" s="1"/>
      <x:c r="E149" s="1"/>
      <x:c r="F149" s="1"/>
      <x:c r="G149" s="1"/>
      <x:c r="H149" s="1"/>
      <x:c r="I149" s="26"/>
      <x:c r="J149" s="26"/>
      <x:c r="K149" s="26"/>
      <x:c r="L149" s="1"/>
      <x:c r="M149" s="1"/>
      <x:c r="N149" s="1"/>
      <x:c r="O149" s="1"/>
      <x:c r="P149" s="1"/>
    </x:row>
    <x:row r="150" ht="34" customHeight="1">
      <x:c r="A150" s="1"/>
      <x:c r="B150" s="1"/>
      <x:c r="C150" s="1"/>
      <x:c r="D150" s="1"/>
      <x:c r="E150" s="1"/>
      <x:c r="F150" s="1"/>
      <x:c r="G150" s="1"/>
      <x:c r="H150" s="1"/>
      <x:c r="I150" s="26"/>
      <x:c r="J150" s="26"/>
      <x:c r="K150" s="26"/>
      <x:c r="L150" s="1"/>
      <x:c r="M150" s="1"/>
      <x:c r="N150" s="1"/>
      <x:c r="O150" s="1"/>
      <x:c r="P150" s="1"/>
    </x:row>
    <x:row r="151" ht="34" customHeight="1">
      <x:c r="A151" s="1"/>
      <x:c r="B151" s="1"/>
      <x:c r="C151" s="1"/>
      <x:c r="D151" s="1"/>
      <x:c r="E151" s="1"/>
      <x:c r="F151" s="1"/>
      <x:c r="G151" s="1"/>
      <x:c r="H151" s="1"/>
      <x:c r="I151" s="26"/>
      <x:c r="J151" s="26"/>
      <x:c r="K151" s="26"/>
      <x:c r="L151" s="1"/>
      <x:c r="M151" s="1"/>
      <x:c r="N151" s="1"/>
      <x:c r="O151" s="1"/>
      <x:c r="P151" s="1"/>
    </x:row>
    <x:row r="152" ht="34" customHeight="1">
      <x:c r="A152" s="1"/>
      <x:c r="B152" s="1"/>
      <x:c r="C152" s="1"/>
      <x:c r="D152" s="1"/>
      <x:c r="E152" s="1"/>
      <x:c r="F152" s="1"/>
      <x:c r="G152" s="1"/>
      <x:c r="H152" s="1"/>
      <x:c r="I152" s="26"/>
      <x:c r="J152" s="26"/>
      <x:c r="K152" s="26"/>
      <x:c r="L152" s="1"/>
      <x:c r="M152" s="1"/>
      <x:c r="N152" s="1"/>
      <x:c r="O152" s="1"/>
      <x:c r="P152" s="1"/>
    </x:row>
    <x:row r="153" ht="34" customHeight="1">
      <x:c r="A153" s="1"/>
      <x:c r="B153" s="1"/>
      <x:c r="C153" s="1"/>
      <x:c r="D153" s="1"/>
      <x:c r="E153" s="1"/>
      <x:c r="F153" s="1"/>
      <x:c r="G153" s="1"/>
      <x:c r="H153" s="1"/>
      <x:c r="I153" s="26"/>
      <x:c r="J153" s="26"/>
      <x:c r="K153" s="26"/>
      <x:c r="L153" s="1"/>
      <x:c r="M153" s="1"/>
      <x:c r="N153" s="1"/>
      <x:c r="O153" s="1"/>
      <x:c r="P153" s="1"/>
    </x:row>
    <x:row r="154" ht="34" customHeight="1">
      <x:c r="A154" s="1"/>
      <x:c r="B154" s="1"/>
      <x:c r="C154" s="1"/>
      <x:c r="D154" s="1"/>
      <x:c r="E154" s="1"/>
      <x:c r="F154" s="1"/>
      <x:c r="G154" s="1"/>
      <x:c r="H154" s="1"/>
      <x:c r="I154" s="26"/>
      <x:c r="J154" s="26"/>
      <x:c r="K154" s="26"/>
      <x:c r="L154" s="1"/>
      <x:c r="M154" s="1"/>
      <x:c r="N154" s="1"/>
      <x:c r="O154" s="1"/>
      <x:c r="P154" s="1"/>
    </x:row>
    <x:row r="155" ht="25" customHeight="1">
      <x:c r="A155" s="1"/>
      <x:c r="B155" s="1"/>
      <x:c r="C155" s="13" t="str">
        <x:v>Cash surplus sensitivity: order volume and ingredient cost</x:v>
      </x:c>
      <x:c r="D155" s="13"/>
      <x:c r="E155" s="13"/>
      <x:c r="F155" s="13"/>
      <x:c r="G155" s="13"/>
      <x:c r="H155" s="13"/>
      <x:c r="I155" s="21"/>
      <x:c r="J155" s="26"/>
      <x:c r="K155" s="26"/>
      <x:c r="L155" s="1"/>
      <x:c r="M155" s="1"/>
      <x:c r="N155" s="1"/>
      <x:c r="O155" s="1"/>
      <x:c r="P155" s="1"/>
    </x:row>
    <x:row r="156" ht="34" customHeight="1">
      <x:c r="A156" s="1"/>
      <x:c r="B156" s="1"/>
      <x:c r="C156" s="1" t="str">
        <x:v>Rows: extra food cost. Columns: order multiplier. IDR m.</x:v>
      </x:c>
      <x:c r="D156" s="1"/>
      <x:c r="E156" s="1"/>
      <x:c r="F156" s="1"/>
      <x:c r="G156" s="1"/>
      <x:c r="H156" s="1"/>
      <x:c r="I156" s="26"/>
      <x:c r="J156" s="26"/>
      <x:c r="K156" s="26"/>
      <x:c r="L156" s="1"/>
      <x:c r="M156" s="1"/>
      <x:c r="N156" s="1"/>
      <x:c r="O156" s="1"/>
      <x:c r="P156" s="1"/>
    </x:row>
    <x:row r="157" ht="34" customHeight="1">
      <x:c r="A157" s="1"/>
      <x:c r="B157" s="1"/>
      <x:c r="C157" s="60" t="n">
        <x:f>'Operations'!G47/1000000</x:f>
        <x:v>3.3069290928907114</x:v>
      </x:c>
      <x:c r="D157" s="59" t="n">
        <x:v>0.7</x:v>
      </x:c>
      <x:c r="E157" s="59" t="n">
        <x:v>0.85</x:v>
      </x:c>
      <x:c r="F157" s="59" t="n">
        <x:v>1</x:v>
      </x:c>
      <x:c r="G157" s="59" t="n">
        <x:v>1.15</x:v>
      </x:c>
      <x:c r="H157" s="1"/>
      <x:c r="I157" s="26"/>
      <x:c r="J157" s="26"/>
      <x:c r="K157" s="26"/>
      <x:c r="L157" s="1"/>
      <x:c r="M157" s="1"/>
      <x:c r="N157" s="1"/>
      <x:c r="O157" s="1"/>
      <x:c r="P157" s="1"/>
    </x:row>
    <x:row r="158" ht="34" customHeight="1">
      <x:c r="A158" s="1"/>
      <x:c r="B158" s="1"/>
      <x:c r="C158" s="19" t="n">
        <x:v>0</x:v>
      </x:c>
      <x:c r="D158" s="49" t="n">
        <x:f t="dataTable" ref="D158:G160" dt2D="1" r1="E48" r2="E49"/>
        <x:v>-30.2364605576622</x:v>
      </x:c>
      <x:c r="E158" s="49" t="n">
        <x:v>-12.8573782962088</x:v>
      </x:c>
      <x:c r="F158" s="49" t="n">
        <x:v>3.3069290928907</x:v>
      </x:c>
      <x:c r="G158" s="49" t="n">
        <x:v>16.8626132568243</x:v>
      </x:c>
      <x:c r="H158" s="1"/>
      <x:c r="I158" s="26"/>
      <x:c r="J158" s="26"/>
      <x:c r="K158" s="26"/>
      <x:c r="L158" s="1"/>
      <x:c r="M158" s="1"/>
      <x:c r="N158" s="1"/>
      <x:c r="O158" s="1"/>
      <x:c r="P158" s="1"/>
    </x:row>
    <x:row r="159" ht="34" customHeight="1">
      <x:c r="A159" s="1"/>
      <x:c r="B159" s="1"/>
      <x:c r="C159" s="19" t="n">
        <x:v>0.03</x:v>
      </x:c>
      <x:c r="D159" s="49" t="n">
        <x:v>-34.9240084894804</x:v>
      </x:c>
      <x:c r="E159" s="49" t="n">
        <x:v>-18.5494007848452</x:v>
      </x:c>
      <x:c r="F159" s="49" t="n">
        <x:v>-2.17479308021</x:v>
      </x:c>
      <x:c r="G159" s="49" t="n">
        <x:v>10.8558554070516</x:v>
      </x:c>
      <x:c r="H159" s="1"/>
      <x:c r="I159" s="26"/>
      <x:c r="J159" s="26"/>
      <x:c r="K159" s="26"/>
      <x:c r="L159" s="1"/>
      <x:c r="M159" s="1"/>
      <x:c r="N159" s="1"/>
      <x:c r="O159" s="1"/>
      <x:c r="P159" s="1"/>
    </x:row>
    <x:row r="160" ht="34" customHeight="1">
      <x:c r="A160" s="1"/>
      <x:c r="B160" s="1"/>
      <x:c r="C160" s="19" t="n">
        <x:v>0.05</x:v>
      </x:c>
      <x:c r="D160" s="49" t="n">
        <x:v>-38.0490404440258</x:v>
      </x:c>
      <x:c r="E160" s="49" t="n">
        <x:v>-22.3440824439361</x:v>
      </x:c>
      <x:c r="F160" s="49" t="n">
        <x:v>-6.6391244438464</x:v>
      </x:c>
      <x:c r="G160" s="49" t="n">
        <x:v>6.8513501738698</x:v>
      </x:c>
      <x:c r="H160" s="1"/>
      <x:c r="I160" s="26"/>
      <x:c r="J160" s="26"/>
      <x:c r="K160" s="26"/>
      <x:c r="L160" s="1"/>
      <x:c r="M160" s="1"/>
      <x:c r="N160" s="1"/>
      <x:c r="O160" s="1"/>
      <x:c r="P160" s="1"/>
    </x:row>
    <x:row r="161" ht="34" customHeight="1">
      <x:c r="A161" s="1"/>
      <x:c r="B161" s="1"/>
      <x:c r="C161" s="1"/>
      <x:c r="D161" s="1"/>
      <x:c r="E161" s="1"/>
      <x:c r="F161" s="1"/>
      <x:c r="G161" s="1"/>
      <x:c r="H161" s="1"/>
      <x:c r="I161" s="26"/>
      <x:c r="J161" s="26"/>
      <x:c r="K161" s="26"/>
      <x:c r="L161" s="1"/>
      <x:c r="M161" s="1"/>
      <x:c r="N161" s="1"/>
      <x:c r="O161" s="1"/>
      <x:c r="P161" s="1"/>
    </x:row>
    <x:row r="162" ht="34" customHeight="1">
      <x:c r="A162" s="1"/>
      <x:c r="B162" s="1"/>
      <x:c r="C162" s="1"/>
      <x:c r="D162" s="1"/>
      <x:c r="E162" s="1"/>
      <x:c r="F162" s="1"/>
      <x:c r="G162" s="1"/>
      <x:c r="H162" s="1"/>
      <x:c r="I162" s="26"/>
      <x:c r="J162" s="26"/>
      <x:c r="K162" s="26"/>
      <x:c r="L162" s="1"/>
      <x:c r="M162" s="1"/>
      <x:c r="N162" s="1"/>
      <x:c r="O162" s="1"/>
      <x:c r="P162" s="1"/>
    </x:row>
    <x:row r="163" ht="34" customHeight="1">
      <x:c r="A163" s="1"/>
      <x:c r="B163" s="1"/>
      <x:c r="C163" s="1" t="str">
        <x:v>Native two-input Excel What-If table linked to the same operating model.</x:v>
      </x:c>
      <x:c r="D163" s="1"/>
      <x:c r="E163" s="1"/>
      <x:c r="F163" s="1"/>
      <x:c r="G163" s="1"/>
      <x:c r="H163" s="1"/>
      <x:c r="I163" s="26"/>
      <x:c r="J163" s="26"/>
      <x:c r="K163" s="26"/>
      <x:c r="L163" s="1"/>
      <x:c r="M163" s="1"/>
      <x:c r="N163" s="1"/>
      <x:c r="O163" s="1"/>
      <x:c r="P163" s="1"/>
    </x:row>
    <x:row r="164" ht="34" customHeight="1">
      <x:c r="A164" s="1"/>
      <x:c r="B164" s="1"/>
      <x:c r="C164" s="1"/>
      <x:c r="D164" s="1"/>
      <x:c r="E164" s="1"/>
      <x:c r="F164" s="1"/>
      <x:c r="G164" s="1"/>
      <x:c r="H164" s="1"/>
      <x:c r="I164" s="26"/>
      <x:c r="J164" s="26"/>
      <x:c r="K164" s="26"/>
      <x:c r="L164" s="1"/>
      <x:c r="M164" s="1"/>
      <x:c r="N164" s="1"/>
      <x:c r="O164" s="1"/>
      <x:c r="P164" s="1"/>
    </x:row>
    <x:row r="165" ht="34" customHeight="1">
      <x:c r="A165" s="1"/>
      <x:c r="B165" s="1"/>
      <x:c r="C165" s="1"/>
      <x:c r="D165" s="1"/>
      <x:c r="E165" s="1"/>
      <x:c r="F165" s="1"/>
      <x:c r="G165" s="1"/>
      <x:c r="H165" s="1"/>
      <x:c r="I165" s="26"/>
      <x:c r="J165" s="26"/>
      <x:c r="K165" s="26"/>
      <x:c r="L165" s="1"/>
      <x:c r="M165" s="1"/>
      <x:c r="N165" s="1"/>
      <x:c r="O165" s="1"/>
      <x:c r="P165" s="1"/>
    </x:row>
    <x:row r="166" ht="34" customHeight="1">
      <x:c r="A166" s="1"/>
      <x:c r="B166" s="1"/>
      <x:c r="C166" s="1"/>
      <x:c r="D166" s="1"/>
      <x:c r="E166" s="1"/>
      <x:c r="F166" s="1"/>
      <x:c r="G166" s="1"/>
      <x:c r="H166" s="1"/>
      <x:c r="I166" s="26"/>
      <x:c r="J166" s="26"/>
      <x:c r="K166" s="26"/>
      <x:c r="L166" s="1"/>
      <x:c r="M166" s="1"/>
      <x:c r="N166" s="1"/>
      <x:c r="O166" s="1"/>
      <x:c r="P166" s="1"/>
    </x:row>
    <x:row r="167" ht="34" customHeight="1">
      <x:c r="A167" s="1"/>
      <x:c r="B167" s="1"/>
      <x:c r="C167" s="1"/>
      <x:c r="D167" s="1"/>
      <x:c r="E167" s="1"/>
      <x:c r="F167" s="1"/>
      <x:c r="G167" s="1"/>
      <x:c r="H167" s="1"/>
      <x:c r="I167" s="26"/>
      <x:c r="J167" s="26"/>
      <x:c r="K167" s="26"/>
      <x:c r="L167" s="1"/>
      <x:c r="M167" s="1"/>
      <x:c r="N167" s="1"/>
      <x:c r="O167" s="1"/>
      <x:c r="P167" s="1"/>
    </x:row>
    <x:row r="168" ht="34" customHeight="1">
      <x:c r="A168" s="1"/>
      <x:c r="B168" s="1"/>
      <x:c r="C168" s="1"/>
      <x:c r="D168" s="1"/>
      <x:c r="E168" s="1"/>
      <x:c r="F168" s="1"/>
      <x:c r="G168" s="1"/>
      <x:c r="H168" s="1"/>
      <x:c r="I168" s="26"/>
      <x:c r="J168" s="26"/>
      <x:c r="K168" s="26"/>
      <x:c r="L168" s="1"/>
      <x:c r="M168" s="1"/>
      <x:c r="N168" s="1"/>
      <x:c r="O168" s="1"/>
      <x:c r="P168" s="1"/>
    </x:row>
    <x:row r="169" ht="34" customHeight="1">
      <x:c r="A169" s="1"/>
      <x:c r="B169" s="1"/>
      <x:c r="C169" s="1"/>
      <x:c r="D169" s="1"/>
      <x:c r="E169" s="1"/>
      <x:c r="F169" s="1"/>
      <x:c r="G169" s="1"/>
      <x:c r="H169" s="1"/>
      <x:c r="I169" s="26"/>
      <x:c r="J169" s="26"/>
      <x:c r="K169" s="26"/>
      <x:c r="L169" s="1"/>
      <x:c r="M169" s="1"/>
      <x:c r="N169" s="1"/>
      <x:c r="O169" s="1"/>
      <x:c r="P169" s="1"/>
    </x:row>
    <x:row r="170" ht="34" customHeight="1">
      <x:c r="A170" s="1"/>
      <x:c r="B170" s="1"/>
      <x:c r="C170" s="1"/>
      <x:c r="D170" s="1"/>
      <x:c r="E170" s="1"/>
      <x:c r="F170" s="1"/>
      <x:c r="G170" s="1"/>
      <x:c r="H170" s="1"/>
      <x:c r="I170" s="26"/>
      <x:c r="J170" s="26"/>
      <x:c r="K170" s="26"/>
      <x:c r="L170" s="1"/>
      <x:c r="M170" s="1"/>
      <x:c r="N170" s="1"/>
      <x:c r="O170" s="1"/>
      <x:c r="P170" s="1"/>
    </x:row>
    <x:row r="171" ht="34" customHeight="1">
      <x:c r="A171" s="1"/>
      <x:c r="B171" s="1"/>
      <x:c r="C171" s="1"/>
      <x:c r="D171" s="1"/>
      <x:c r="E171" s="1"/>
      <x:c r="F171" s="1"/>
      <x:c r="G171" s="1"/>
      <x:c r="H171" s="1"/>
      <x:c r="I171" s="26"/>
      <x:c r="J171" s="26"/>
      <x:c r="K171" s="26"/>
      <x:c r="L171" s="1"/>
      <x:c r="M171" s="1"/>
      <x:c r="N171" s="1"/>
      <x:c r="O171" s="1"/>
      <x:c r="P171" s="1"/>
    </x:row>
    <x:row r="172" ht="34" customHeight="1">
      <x:c r="A172" s="1"/>
      <x:c r="B172" s="1"/>
      <x:c r="C172" s="1"/>
      <x:c r="D172" s="1"/>
      <x:c r="E172" s="1"/>
      <x:c r="F172" s="1"/>
      <x:c r="G172" s="1"/>
      <x:c r="H172" s="1"/>
      <x:c r="I172" s="26"/>
      <x:c r="J172" s="26"/>
      <x:c r="K172" s="26"/>
      <x:c r="L172" s="1"/>
      <x:c r="M172" s="1"/>
      <x:c r="N172" s="1"/>
      <x:c r="O172" s="1"/>
      <x:c r="P172" s="1"/>
    </x:row>
    <x:row r="173" ht="34" customHeight="1">
      <x:c r="A173" s="1"/>
      <x:c r="B173" s="1"/>
      <x:c r="C173" s="1"/>
      <x:c r="D173" s="1"/>
      <x:c r="E173" s="1"/>
      <x:c r="F173" s="1"/>
      <x:c r="G173" s="1"/>
      <x:c r="H173" s="1"/>
      <x:c r="I173" s="26"/>
      <x:c r="J173" s="26"/>
      <x:c r="K173" s="26"/>
      <x:c r="L173" s="1"/>
      <x:c r="M173" s="1"/>
      <x:c r="N173" s="1"/>
      <x:c r="O173" s="1"/>
      <x:c r="P173" s="1"/>
    </x:row>
    <x:row r="174" ht="34" customHeight="1">
      <x:c r="A174" s="1"/>
      <x:c r="B174" s="1"/>
      <x:c r="C174" s="1"/>
      <x:c r="D174" s="1"/>
      <x:c r="E174" s="1"/>
      <x:c r="F174" s="1"/>
      <x:c r="G174" s="1"/>
      <x:c r="H174" s="1"/>
      <x:c r="I174" s="26"/>
      <x:c r="J174" s="26"/>
      <x:c r="K174" s="26"/>
      <x:c r="L174" s="1"/>
      <x:c r="M174" s="1"/>
      <x:c r="N174" s="1"/>
      <x:c r="O174" s="1"/>
      <x:c r="P174" s="1"/>
    </x:row>
    <x:row r="175" ht="34" customHeight="1">
      <x:c r="A175" s="1"/>
      <x:c r="B175" s="1"/>
      <x:c r="C175" s="1"/>
      <x:c r="D175" s="1"/>
      <x:c r="E175" s="1"/>
      <x:c r="F175" s="1"/>
      <x:c r="G175" s="1"/>
      <x:c r="H175" s="1"/>
      <x:c r="I175" s="26"/>
      <x:c r="J175" s="26"/>
      <x:c r="K175" s="26"/>
      <x:c r="L175" s="1"/>
      <x:c r="M175" s="1"/>
      <x:c r="N175" s="1"/>
      <x:c r="O175" s="1"/>
      <x:c r="P175" s="1"/>
    </x:row>
    <x:row r="176" ht="34" customHeight="1">
      <x:c r="A176" s="1"/>
      <x:c r="B176" s="1"/>
      <x:c r="C176" s="1"/>
      <x:c r="D176" s="1"/>
      <x:c r="E176" s="1"/>
      <x:c r="F176" s="1"/>
      <x:c r="G176" s="1"/>
      <x:c r="H176" s="1"/>
      <x:c r="I176" s="26"/>
      <x:c r="J176" s="26"/>
      <x:c r="K176" s="26"/>
      <x:c r="L176" s="1"/>
      <x:c r="M176" s="1"/>
      <x:c r="N176" s="1"/>
      <x:c r="O176" s="1"/>
      <x:c r="P176" s="1"/>
    </x:row>
    <x:row r="177" ht="34" customHeight="1">
      <x:c r="A177" s="1"/>
      <x:c r="B177" s="1"/>
      <x:c r="C177" s="1"/>
      <x:c r="D177" s="1"/>
      <x:c r="E177" s="1"/>
      <x:c r="F177" s="1"/>
      <x:c r="G177" s="1"/>
      <x:c r="H177" s="1"/>
      <x:c r="I177" s="26"/>
      <x:c r="J177" s="26"/>
      <x:c r="K177" s="26"/>
      <x:c r="L177" s="1"/>
      <x:c r="M177" s="1"/>
      <x:c r="N177" s="1"/>
      <x:c r="O177" s="1"/>
      <x:c r="P177" s="1"/>
    </x:row>
    <x:row r="178" ht="34" customHeight="1">
      <x:c r="A178" s="1"/>
      <x:c r="B178" s="1"/>
      <x:c r="C178" s="1"/>
      <x:c r="D178" s="1"/>
      <x:c r="E178" s="1"/>
      <x:c r="F178" s="1"/>
      <x:c r="G178" s="1"/>
      <x:c r="H178" s="1"/>
      <x:c r="I178" s="26"/>
      <x:c r="J178" s="26"/>
      <x:c r="K178" s="26"/>
      <x:c r="L178" s="1"/>
      <x:c r="M178" s="1"/>
      <x:c r="N178" s="1"/>
      <x:c r="O178" s="1"/>
      <x:c r="P178" s="1"/>
    </x:row>
    <x:row r="179" ht="34" customHeight="1">
      <x:c r="A179" s="1"/>
      <x:c r="B179" s="1"/>
      <x:c r="C179" s="1"/>
      <x:c r="D179" s="1"/>
      <x:c r="E179" s="1"/>
      <x:c r="F179" s="1"/>
      <x:c r="G179" s="1"/>
      <x:c r="H179" s="1"/>
      <x:c r="I179" s="26"/>
      <x:c r="J179" s="26"/>
      <x:c r="K179" s="26"/>
      <x:c r="L179" s="1"/>
      <x:c r="M179" s="1"/>
      <x:c r="N179" s="1"/>
      <x:c r="O179" s="1"/>
      <x:c r="P179" s="1"/>
    </x:row>
    <x:row r="180" ht="34" customHeight="1">
      <x:c r="A180" s="1"/>
      <x:c r="B180" s="1"/>
      <x:c r="C180" s="1"/>
      <x:c r="D180" s="1"/>
      <x:c r="E180" s="1"/>
      <x:c r="F180" s="1"/>
      <x:c r="G180" s="1"/>
      <x:c r="H180" s="1"/>
      <x:c r="I180" s="26"/>
      <x:c r="J180" s="26"/>
      <x:c r="K180" s="26"/>
      <x:c r="L180" s="1"/>
      <x:c r="M180" s="1"/>
      <x:c r="N180" s="1"/>
      <x:c r="O180" s="1"/>
      <x:c r="P180" s="1"/>
    </x:row>
    <x:row r="181" ht="34" customHeight="1">
      <x:c r="A181" s="1"/>
      <x:c r="B181" s="1"/>
      <x:c r="C181" s="1"/>
      <x:c r="D181" s="1"/>
      <x:c r="E181" s="1"/>
      <x:c r="F181" s="1"/>
      <x:c r="G181" s="1"/>
      <x:c r="H181" s="1"/>
      <x:c r="I181" s="26"/>
      <x:c r="J181" s="26"/>
      <x:c r="K181" s="26"/>
      <x:c r="L181" s="1"/>
      <x:c r="M181" s="1"/>
      <x:c r="N181" s="1"/>
      <x:c r="O181" s="1"/>
      <x:c r="P181" s="1"/>
    </x:row>
    <x:row r="182" ht="34" customHeight="1">
      <x:c r="A182" s="1"/>
      <x:c r="B182" s="1"/>
      <x:c r="C182" s="1"/>
      <x:c r="D182" s="1"/>
      <x:c r="E182" s="1"/>
      <x:c r="F182" s="1"/>
      <x:c r="G182" s="1"/>
      <x:c r="H182" s="1"/>
      <x:c r="I182" s="26"/>
      <x:c r="J182" s="26"/>
      <x:c r="K182" s="26"/>
      <x:c r="L182" s="1"/>
      <x:c r="M182" s="1"/>
      <x:c r="N182" s="1"/>
      <x:c r="O182" s="1"/>
      <x:c r="P182" s="1"/>
    </x:row>
    <x:row r="183" ht="34" customHeight="1">
      <x:c r="A183" s="1"/>
      <x:c r="B183" s="1"/>
      <x:c r="C183" s="1"/>
      <x:c r="D183" s="1"/>
      <x:c r="E183" s="1"/>
      <x:c r="F183" s="1"/>
      <x:c r="G183" s="1"/>
      <x:c r="H183" s="1"/>
      <x:c r="I183" s="26"/>
      <x:c r="J183" s="26"/>
      <x:c r="K183" s="26"/>
      <x:c r="L183" s="1"/>
      <x:c r="M183" s="1"/>
      <x:c r="N183" s="1"/>
      <x:c r="O183" s="1"/>
      <x:c r="P183" s="1"/>
    </x:row>
    <x:row r="184" ht="34" customHeight="1">
      <x:c r="A184" s="1"/>
      <x:c r="B184" s="1"/>
      <x:c r="C184" s="1"/>
      <x:c r="D184" s="1"/>
      <x:c r="E184" s="1"/>
      <x:c r="F184" s="1"/>
      <x:c r="G184" s="1"/>
      <x:c r="H184" s="1"/>
      <x:c r="I184" s="26"/>
      <x:c r="J184" s="26"/>
      <x:c r="K184" s="26"/>
      <x:c r="L184" s="1"/>
      <x:c r="M184" s="1"/>
      <x:c r="N184" s="1"/>
      <x:c r="O184" s="1"/>
      <x:c r="P184" s="1"/>
    </x:row>
    <x:row r="185" ht="34" customHeight="1">
      <x:c r="A185" s="1"/>
      <x:c r="B185" s="1"/>
      <x:c r="C185" s="1"/>
      <x:c r="D185" s="1"/>
      <x:c r="E185" s="1"/>
      <x:c r="F185" s="1"/>
      <x:c r="G185" s="1"/>
      <x:c r="H185" s="1"/>
      <x:c r="I185" s="26"/>
      <x:c r="J185" s="26"/>
      <x:c r="K185" s="26"/>
      <x:c r="L185" s="1"/>
      <x:c r="M185" s="1"/>
      <x:c r="N185" s="1"/>
      <x:c r="O185" s="1"/>
      <x:c r="P185" s="1"/>
    </x:row>
    <x:row r="186" ht="34" customHeight="1">
      <x:c r="A186" s="1"/>
      <x:c r="B186" s="1"/>
      <x:c r="C186" s="1"/>
      <x:c r="D186" s="1"/>
      <x:c r="E186" s="1"/>
      <x:c r="F186" s="1"/>
      <x:c r="G186" s="1"/>
      <x:c r="H186" s="1"/>
      <x:c r="I186" s="26"/>
      <x:c r="J186" s="26"/>
      <x:c r="K186" s="26"/>
      <x:c r="L186" s="1"/>
      <x:c r="M186" s="1"/>
      <x:c r="N186" s="1"/>
      <x:c r="O186" s="1"/>
      <x:c r="P186" s="1"/>
    </x:row>
    <x:row r="187" ht="34" customHeight="1">
      <x:c r="A187" s="1"/>
      <x:c r="B187" s="1"/>
      <x:c r="C187" s="1"/>
      <x:c r="D187" s="1"/>
      <x:c r="E187" s="1"/>
      <x:c r="F187" s="1"/>
      <x:c r="G187" s="1"/>
      <x:c r="H187" s="1"/>
      <x:c r="I187" s="26"/>
      <x:c r="J187" s="26"/>
      <x:c r="K187" s="26"/>
      <x:c r="L187" s="1"/>
      <x:c r="M187" s="1"/>
      <x:c r="N187" s="1"/>
      <x:c r="O187" s="1"/>
      <x:c r="P187" s="1"/>
    </x:row>
    <x:row r="188" ht="34" customHeight="1">
      <x:c r="A188" s="1"/>
      <x:c r="B188" s="1"/>
      <x:c r="C188" s="1"/>
      <x:c r="D188" s="1"/>
      <x:c r="E188" s="1"/>
      <x:c r="F188" s="1"/>
      <x:c r="G188" s="1"/>
      <x:c r="H188" s="1"/>
      <x:c r="I188" s="26"/>
      <x:c r="J188" s="26"/>
      <x:c r="K188" s="26"/>
      <x:c r="L188" s="1"/>
      <x:c r="M188" s="1"/>
      <x:c r="N188" s="1"/>
      <x:c r="O188" s="1"/>
      <x:c r="P188" s="1"/>
    </x:row>
    <x:row r="189" ht="34" customHeight="1">
      <x:c r="A189" s="1"/>
      <x:c r="B189" s="1"/>
      <x:c r="C189" s="1"/>
      <x:c r="D189" s="1"/>
      <x:c r="E189" s="1"/>
      <x:c r="F189" s="1"/>
      <x:c r="G189" s="1"/>
      <x:c r="H189" s="1"/>
      <x:c r="I189" s="26"/>
      <x:c r="J189" s="26"/>
      <x:c r="K189" s="26"/>
      <x:c r="L189" s="1"/>
      <x:c r="M189" s="1"/>
      <x:c r="N189" s="1"/>
      <x:c r="O189" s="1"/>
      <x:c r="P189" s="1"/>
    </x:row>
    <x:row r="190" ht="34" customHeight="1">
      <x:c r="A190" s="1"/>
      <x:c r="B190" s="1"/>
      <x:c r="C190" s="1"/>
      <x:c r="D190" s="1"/>
      <x:c r="E190" s="1"/>
      <x:c r="F190" s="1"/>
      <x:c r="G190" s="1"/>
      <x:c r="H190" s="1"/>
      <x:c r="I190" s="26"/>
      <x:c r="J190" s="26"/>
      <x:c r="K190" s="26"/>
      <x:c r="L190" s="1"/>
      <x:c r="M190" s="1"/>
      <x:c r="N190" s="1"/>
      <x:c r="O190" s="1"/>
      <x:c r="P190" s="1"/>
    </x:row>
  </x:sheetData>
  <x:dataValidations count="16">
    <x:dataValidation type="whole" operator="between" sqref="E4">
      <x:formula1>1</x:formula1>
      <x:formula2>3</x:formula2>
    </x:dataValidation>
    <x:dataValidation type="whole" operator="between" sqref="E9">
      <x:formula1>0</x:formula1>
      <x:formula2>1</x:formula2>
    </x:dataValidation>
    <x:dataValidation type="whole" operator="between" sqref="E16">
      <x:formula1>0</x:formula1>
      <x:formula2>1</x:formula2>
    </x:dataValidation>
    <x:dataValidation type="decimal" operator="between" sqref="E11">
      <x:formula1>0</x:formula1>
      <x:formula2>0.99</x:formula2>
    </x:dataValidation>
    <x:dataValidation type="decimal" operator="between" sqref="E17">
      <x:formula1>0</x:formula1>
      <x:formula2>0.99</x:formula2>
    </x:dataValidation>
    <x:dataValidation type="decimal" operator="between" sqref="E18">
      <x:formula1>0</x:formula1>
      <x:formula2>0.99</x:formula2>
    </x:dataValidation>
    <x:dataValidation type="decimal" operator="between" sqref="E19">
      <x:formula1>0</x:formula1>
      <x:formula2>0.99</x:formula2>
    </x:dataValidation>
    <x:dataValidation type="decimal" operator="between" sqref="E20">
      <x:formula1>0</x:formula1>
      <x:formula2>0.99</x:formula2>
    </x:dataValidation>
    <x:dataValidation type="decimal" operator="between" sqref="E21">
      <x:formula1>0</x:formula1>
      <x:formula2>0.99</x:formula2>
    </x:dataValidation>
    <x:dataValidation type="decimal" operator="between" sqref="E25">
      <x:formula1>0</x:formula1>
      <x:formula2>0.99</x:formula2>
    </x:dataValidation>
    <x:dataValidation type="decimal" operator="between" sqref="E30">
      <x:formula1>0</x:formula1>
      <x:formula2>0.99</x:formula2>
    </x:dataValidation>
    <x:dataValidation type="decimal" operator="between" sqref="E31">
      <x:formula1>0</x:formula1>
      <x:formula2>0.99</x:formula2>
    </x:dataValidation>
    <x:dataValidation type="decimal" operator="between" sqref="E45">
      <x:formula1>0</x:formula1>
      <x:formula2>0.99</x:formula2>
    </x:dataValidation>
    <x:dataValidation type="decimal" operator="between" sqref="E57">
      <x:formula1>0</x:formula1>
      <x:formula2>0.99</x:formula2>
    </x:dataValidation>
    <x:dataValidation type="decimal" operator="between" sqref="E66">
      <x:formula1>0</x:formula1>
      <x:formula2>0.99</x:formula2>
    </x:dataValidation>
    <x:dataValidation type="decimal" operator="between" sqref="E68">
      <x:formula1>0</x:formula1>
      <x:formula2>0.99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2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2" customHeight="1">
      <x:c r="A2" s="1"/>
      <x:c r="B2" s="1"/>
      <x:c r="C2" s="2" t="str">
        <x:v>Maya Berawa · Launch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2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2" customHeight="1">
      <x:c r="A4" s="1"/>
      <x:c r="B4" s="1"/>
      <x:c r="C4" s="1" t="str">
        <x:v>Case selected</x:v>
      </x:c>
      <x:c r="D4" s="1"/>
      <x:c r="E4" s="5" t="str">
        <x:f>'Inputs'!G4</x:f>
        <x:v>Base</x:v>
      </x:c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22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25" customHeight="1">
      <x:c r="A7" s="1"/>
      <x:c r="B7" s="1"/>
      <x:c r="C7" s="13" t="str">
        <x:v>Launch ramp: fraction of steady orders</x:v>
      </x:c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</x:row>
    <x:row r="8" ht="22" customHeight="1">
      <x:c r="A8" s="1"/>
      <x:c r="B8" s="1"/>
      <x:c r="C8" s="1" t="str">
        <x:v>Case / month from opening</x:v>
      </x:c>
      <x:c r="D8" s="1"/>
      <x:c r="E8" s="1" t="n">
        <x:v>1</x:v>
      </x:c>
      <x:c r="F8" s="1" t="n">
        <x:v>2</x:v>
      </x:c>
      <x:c r="G8" s="1" t="n">
        <x:v>3</x:v>
      </x:c>
      <x:c r="H8" s="1" t="n">
        <x:v>4</x:v>
      </x:c>
      <x:c r="I8" s="1" t="n">
        <x:v>5</x:v>
      </x:c>
      <x:c r="J8" s="1" t="n">
        <x:v>6</x:v>
      </x:c>
      <x:c r="K8" s="1" t="n">
        <x:v>7</x:v>
      </x:c>
      <x:c r="L8" s="1" t="n">
        <x:v>8</x:v>
      </x:c>
      <x:c r="M8" s="1" t="n">
        <x:v>9</x:v>
      </x:c>
      <x:c r="N8" s="1" t="n">
        <x:v>10</x:v>
      </x:c>
      <x:c r="O8" s="1" t="n">
        <x:v>11</x:v>
      </x:c>
      <x:c r="P8" s="1" t="n">
        <x:v>12</x:v>
      </x:c>
    </x:row>
    <x:row r="9" ht="22" customHeight="1">
      <x:c r="A9" s="1"/>
      <x:c r="B9" s="1"/>
      <x:c r="C9" s="1" t="str">
        <x:v>Active selection</x:v>
      </x:c>
      <x:c r="D9" s="1"/>
      <x:c r="E9" s="18" t="n">
        <x:f>CHOOSE('Inputs'!$E$4,E10,E11,E12)</x:f>
        <x:v>0.45</x:v>
      </x:c>
      <x:c r="F9" s="18" t="n">
        <x:f>CHOOSE('Inputs'!$E$4,F10,F11,F12)</x:f>
        <x:v>0.6</x:v>
      </x:c>
      <x:c r="G9" s="18" t="n">
        <x:f>CHOOSE('Inputs'!$E$4,G10,G11,G12)</x:f>
        <x:v>0.75</x:v>
      </x:c>
      <x:c r="H9" s="18" t="n">
        <x:f>CHOOSE('Inputs'!$E$4,H10,H11,H12)</x:f>
        <x:v>0.85</x:v>
      </x:c>
      <x:c r="I9" s="18" t="n">
        <x:f>CHOOSE('Inputs'!$E$4,I10,I11,I12)</x:f>
        <x:v>0.95</x:v>
      </x:c>
      <x:c r="J9" s="18" t="n">
        <x:f>CHOOSE('Inputs'!$E$4,J10,J11,J12)</x:f>
        <x:v>1</x:v>
      </x:c>
      <x:c r="K9" s="18" t="n">
        <x:f>CHOOSE('Inputs'!$E$4,K10,K11,K12)</x:f>
        <x:v>1</x:v>
      </x:c>
      <x:c r="L9" s="18" t="n">
        <x:f>CHOOSE('Inputs'!$E$4,L10,L11,L12)</x:f>
        <x:v>1</x:v>
      </x:c>
      <x:c r="M9" s="18" t="n">
        <x:f>CHOOSE('Inputs'!$E$4,M10,M11,M12)</x:f>
        <x:v>1</x:v>
      </x:c>
      <x:c r="N9" s="18" t="n">
        <x:f>CHOOSE('Inputs'!$E$4,N10,N11,N12)</x:f>
        <x:v>1</x:v>
      </x:c>
      <x:c r="O9" s="18" t="n">
        <x:f>CHOOSE('Inputs'!$E$4,O10,O11,O12)</x:f>
        <x:v>1</x:v>
      </x:c>
      <x:c r="P9" s="18" t="n">
        <x:f>CHOOSE('Inputs'!$E$4,P10,P11,P12)</x:f>
        <x:v>1</x:v>
      </x:c>
    </x:row>
    <x:row r="10" ht="22" customHeight="1">
      <x:c r="A10" s="1"/>
      <x:c r="B10" s="1"/>
      <x:c r="C10" s="1" t="str">
        <x:v>Downside</x:v>
      </x:c>
      <x:c r="D10" s="1"/>
      <x:c r="E10" s="11" t="n">
        <x:v>0.3</x:v>
      </x:c>
      <x:c r="F10" s="11" t="n">
        <x:v>0.4</x:v>
      </x:c>
      <x:c r="G10" s="11" t="n">
        <x:v>0.5</x:v>
      </x:c>
      <x:c r="H10" s="11" t="n">
        <x:v>0.6</x:v>
      </x:c>
      <x:c r="I10" s="11" t="n">
        <x:v>0.7</x:v>
      </x:c>
      <x:c r="J10" s="11" t="n">
        <x:v>0.8</x:v>
      </x:c>
      <x:c r="K10" s="11" t="n">
        <x:v>0.8</x:v>
      </x:c>
      <x:c r="L10" s="11" t="n">
        <x:v>0.85</x:v>
      </x:c>
      <x:c r="M10" s="11" t="n">
        <x:v>0.9</x:v>
      </x:c>
      <x:c r="N10" s="11" t="n">
        <x:v>0.9</x:v>
      </x:c>
      <x:c r="O10" s="11" t="n">
        <x:v>0.9</x:v>
      </x:c>
      <x:c r="P10" s="11" t="n">
        <x:v>1</x:v>
      </x:c>
    </x:row>
    <x:row r="11" ht="22" customHeight="1">
      <x:c r="A11" s="1"/>
      <x:c r="B11" s="1"/>
      <x:c r="C11" s="1" t="str">
        <x:v>Base</x:v>
      </x:c>
      <x:c r="D11" s="1"/>
      <x:c r="E11" s="11" t="n">
        <x:v>0.45</x:v>
      </x:c>
      <x:c r="F11" s="11" t="n">
        <x:v>0.6</x:v>
      </x:c>
      <x:c r="G11" s="11" t="n">
        <x:v>0.75</x:v>
      </x:c>
      <x:c r="H11" s="11" t="n">
        <x:v>0.85</x:v>
      </x:c>
      <x:c r="I11" s="11" t="n">
        <x:v>0.95</x:v>
      </x:c>
      <x:c r="J11" s="11" t="n">
        <x:v>1</x:v>
      </x:c>
      <x:c r="K11" s="11" t="n">
        <x:v>1</x:v>
      </x:c>
      <x:c r="L11" s="11" t="n">
        <x:v>1</x:v>
      </x:c>
      <x:c r="M11" s="11" t="n">
        <x:v>1</x:v>
      </x:c>
      <x:c r="N11" s="11" t="n">
        <x:v>1</x:v>
      </x:c>
      <x:c r="O11" s="11" t="n">
        <x:v>1</x:v>
      </x:c>
      <x:c r="P11" s="11" t="n">
        <x:v>1</x:v>
      </x:c>
    </x:row>
    <x:row r="12" ht="22" customHeight="1">
      <x:c r="A12" s="1"/>
      <x:c r="B12" s="1"/>
      <x:c r="C12" s="1" t="str">
        <x:v>Upside</x:v>
      </x:c>
      <x:c r="D12" s="1"/>
      <x:c r="E12" s="11" t="n">
        <x:v>0.6</x:v>
      </x:c>
      <x:c r="F12" s="11" t="n">
        <x:v>0.8</x:v>
      </x:c>
      <x:c r="G12" s="11" t="n">
        <x:v>0.9</x:v>
      </x:c>
      <x:c r="H12" s="11" t="n">
        <x:v>1</x:v>
      </x:c>
      <x:c r="I12" s="11" t="n">
        <x:v>1</x:v>
      </x:c>
      <x:c r="J12" s="11" t="n">
        <x:v>1</x:v>
      </x:c>
      <x:c r="K12" s="11" t="n">
        <x:v>1</x:v>
      </x:c>
      <x:c r="L12" s="11" t="n">
        <x:v>1</x:v>
      </x:c>
      <x:c r="M12" s="11" t="n">
        <x:v>1</x:v>
      </x:c>
      <x:c r="N12" s="11" t="n">
        <x:v>1</x:v>
      </x:c>
      <x:c r="O12" s="11" t="n">
        <x:v>1</x:v>
      </x:c>
      <x:c r="P12" s="11" t="n">
        <x:v>1</x:v>
      </x:c>
    </x:row>
    <x:row r="13" ht="22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22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  <x:row r="15" ht="22" customHeight="1">
      <x:c r="A15" s="1"/>
      <x:c r="B15" s="1"/>
      <x:c r="C15" s="1" t="str">
        <x:v>No opening date supplied: months are relative to opening.</x:v>
      </x:c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22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22" customHeight="1">
      <x:c r="A17" s="1"/>
      <x:c r="B17" s="1"/>
      <x:c r="C17" s="1" t="str">
        <x:v>Fraction of steady order volume; fixed costs start in full.</x:v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22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22" customHeight="1">
      <x:c r="A19" s="1"/>
      <x:c r="B19" s="1"/>
      <x:c r="C19" s="1" t="str">
        <x:v>No calendar seasonality assumed. Edit the relevant case months.</x:v>
      </x:c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2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 ht="22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22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 ht="22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22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22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22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 ht="22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22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2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 ht="22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22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 ht="22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22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22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22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2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2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22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22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22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 ht="22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22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22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22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22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 ht="22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 ht="22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 ht="22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22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22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  <x:row r="51" ht="22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</x:row>
    <x:row r="52" ht="22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</x:row>
    <x:row r="53" ht="22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</x:row>
    <x:row r="54" ht="22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</x:row>
    <x:row r="55" ht="22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</x:row>
    <x:row r="56" ht="22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</x:row>
    <x:row r="57" ht="22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</x:row>
    <x:row r="58" ht="22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</x:row>
    <x:row r="59" ht="22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</x:row>
    <x:row r="60" ht="22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</x:row>
    <x:row r="61" ht="22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</x:row>
    <x:row r="62" ht="22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</x:row>
    <x:row r="63" ht="22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</x:row>
    <x:row r="64" ht="22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</x:row>
    <x:row r="65" ht="22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</x:row>
    <x:row r="66" ht="22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</x:row>
    <x:row r="67" ht="22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</x:row>
    <x:row r="68" ht="22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</x:row>
    <x:row r="69" ht="22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</x:row>
    <x:row r="70" ht="22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</x:row>
    <x:row r="71" ht="22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</x:row>
    <x:row r="72" ht="22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</x:row>
    <x:row r="73" ht="22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</x:row>
    <x:row r="74" ht="22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</x:row>
    <x:row r="75" ht="22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</x:row>
    <x:row r="76" ht="22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</x:row>
    <x:row r="77" ht="22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</x:row>
    <x:row r="78" ht="22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</x:row>
    <x:row r="79" ht="22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</x:row>
    <x:row r="80" ht="22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</x:row>
    <x:row r="81" ht="22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</x:row>
    <x:row r="82" ht="22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</x:row>
    <x:row r="83" ht="22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</x:row>
    <x:row r="84" ht="22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</x:row>
    <x:row r="85" ht="22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</x:row>
    <x:row r="86" ht="22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</x:row>
    <x:row r="87" ht="22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</x:row>
    <x:row r="88" ht="22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</x:row>
    <x:row r="89" ht="22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</x:row>
    <x:row r="90" ht="22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</x:row>
    <x:row r="91" ht="22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</x:row>
    <x:row r="92" ht="22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</x:row>
    <x:row r="93" ht="22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</x:row>
    <x:row r="94" ht="22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</x:row>
    <x:row r="95" ht="22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</x:row>
    <x:row r="96" ht="22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</x:row>
    <x:row r="97" ht="22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</x:row>
    <x:row r="98" ht="22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</x:row>
    <x:row r="99" ht="22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</x:row>
    <x:row r="100" ht="22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</x:row>
    <x:row r="101" ht="22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</x:row>
    <x:row r="102" ht="22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</x:row>
    <x:row r="103" ht="22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</x:row>
    <x:row r="104" ht="22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</x:row>
    <x:row r="105" ht="22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</x:row>
    <x:row r="106" ht="22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</x:row>
    <x:row r="107" ht="22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</x:row>
    <x:row r="108" ht="22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</x:row>
    <x:row r="109" ht="22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</x:row>
    <x:row r="110" ht="22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</x:row>
    <x:row r="111" ht="22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</x:row>
    <x:row r="112" ht="22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</x:row>
    <x:row r="113" ht="22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</x:row>
    <x:row r="114" ht="22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</x:row>
    <x:row r="115" ht="22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</x:row>
    <x:row r="116" ht="22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</x:row>
    <x:row r="117" ht="22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</x:row>
    <x:row r="118" ht="22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</x:row>
    <x:row r="119" ht="22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</x:row>
    <x:row r="120" ht="22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</x:row>
    <x:row r="121" ht="22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</x:row>
    <x:row r="122" ht="22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</x:row>
    <x:row r="123" ht="22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</x:row>
    <x:row r="124" ht="22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</x:row>
    <x:row r="125" ht="22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</x:row>
    <x:row r="126" ht="22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</x:row>
    <x:row r="127" ht="22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</x:row>
    <x:row r="128" ht="22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</x:row>
    <x:row r="129" ht="22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</x:row>
    <x:row r="130" ht="22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</x:row>
    <x:row r="131" ht="22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</x:row>
    <x:row r="132" ht="22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</x:row>
    <x:row r="133" ht="22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</x:row>
    <x:row r="134" ht="22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</x:row>
    <x:row r="135" ht="22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</x:row>
    <x:row r="136" ht="22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</x:row>
    <x:row r="137" ht="22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</x:row>
    <x:row r="138" ht="22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</x:row>
    <x:row r="139" ht="22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</x:row>
    <x:row r="140" ht="22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</x:row>
    <x:row r="141" ht="22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</x:row>
    <x:row r="142" ht="22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</x:row>
    <x:row r="143" ht="22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</x:row>
    <x:row r="144" ht="22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</x:row>
    <x:row r="145" ht="22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</x:row>
    <x:row r="146" ht="22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</x:row>
    <x:row r="147" ht="22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</x:row>
    <x:row r="148" ht="22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</x:row>
    <x:row r="149" ht="22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</x:row>
    <x:row r="150" ht="22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</x:row>
    <x:row r="151" ht="22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</x:row>
    <x:row r="152" ht="22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</x:row>
    <x:row r="153" ht="22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</x:row>
    <x:row r="154" ht="22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</x:row>
    <x:row r="155" ht="22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</x:row>
    <x:row r="156" ht="22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</x:row>
    <x:row r="157" ht="22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</x:row>
    <x:row r="158" ht="22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</x:row>
    <x:row r="159" ht="22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</x:row>
    <x:row r="160" ht="22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</x:row>
    <x:row r="161" ht="22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</x:row>
    <x:row r="162" ht="22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</x:row>
    <x:row r="163" ht="22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</x:row>
    <x:row r="164" ht="22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</x:row>
    <x:row r="165" ht="22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</x:row>
    <x:row r="166" ht="22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</x:row>
    <x:row r="167" ht="22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</x:row>
    <x:row r="168" ht="22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</x:row>
    <x:row r="169" ht="22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</x:row>
    <x:row r="170" ht="22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</x:row>
    <x:row r="171" ht="22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</x:row>
    <x:row r="172" ht="22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</x:row>
    <x:row r="173" ht="22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</x:row>
    <x:row r="174" ht="22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</x:row>
    <x:row r="175" ht="22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</x:row>
    <x:row r="176" ht="22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</x:row>
    <x:row r="177" ht="22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</x:row>
    <x:row r="178" ht="22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</x:row>
    <x:row r="179" ht="22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</x:row>
    <x:row r="180" ht="22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</x:row>
    <x:row r="181" ht="22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</x:row>
    <x:row r="182" ht="22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</x:row>
    <x:row r="183" ht="22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</x:row>
    <x:row r="184" ht="22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</x:row>
    <x:row r="185" ht="22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</x:row>
    <x:row r="186" ht="22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</x:row>
    <x:row r="187" ht="22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</x:row>
    <x:row r="188" ht="22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</x:row>
    <x:row r="189" ht="22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</x:row>
    <x:row r="190" ht="22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2" hidden="0" customWidth="1"/>
    <x:col min="4" max="4" width="16" hidden="0" customWidth="1"/>
    <x:col min="5" max="5" width="18" hidden="0" customWidth="1"/>
    <x:col min="6" max="6" width="18" hidden="0" customWidth="1"/>
    <x:col min="7" max="7" width="18" hidden="0" customWidth="1"/>
    <x:col min="8" max="8" width="3" hidden="0" customWidth="1"/>
    <x:col min="9" max="9" width="35" hidden="0" customWidth="1"/>
    <x:col min="10" max="10" width="35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2" customHeight="1">
      <x:c r="A2" s="1"/>
      <x:c r="B2" s="1"/>
      <x:c r="C2" s="2" t="str">
        <x:v>Maya Berawa · Operations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2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2" customHeight="1">
      <x:c r="A4" s="1"/>
      <x:c r="B4" s="1"/>
      <x:c r="C4" s="1" t="str">
        <x:v>Case selected</x:v>
      </x:c>
      <x:c r="D4" s="1"/>
      <x:c r="E4" s="5" t="str">
        <x:f>'Inputs'!G4</x:f>
        <x:v>Base</x:v>
      </x:c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22" customHeight="1">
      <x:c r="A6" s="1"/>
      <x:c r="B6" s="1"/>
      <x:c r="C6" s="13" t="str">
        <x:v>Steady standard month</x:v>
      </x:c>
      <x:c r="D6" s="13" t="str">
        <x:v>Unit</x:v>
      </x:c>
      <x:c r="E6" s="13" t="str">
        <x:v>Day café</x:v>
      </x:c>
      <x:c r="F6" s="13" t="str">
        <x:v>Night option</x:v>
      </x:c>
      <x:c r="G6" s="13" t="str">
        <x:v>Combined if enabled</x:v>
      </x:c>
      <x:c r="H6" s="1"/>
      <x:c r="I6" s="1" t="str">
        <x:v>Night is incremental: no extra rent allocated.</x:v>
      </x:c>
      <x:c r="J6" s="1"/>
      <x:c r="K6" s="1"/>
      <x:c r="L6" s="1"/>
      <x:c r="M6" s="1"/>
      <x:c r="N6" s="1"/>
      <x:c r="O6" s="1"/>
      <x:c r="P6" s="1"/>
    </x:row>
    <x:row r="7" ht="22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22" customHeight="1">
      <x:c r="A8" s="1"/>
      <x:c r="B8" s="1"/>
      <x:c r="C8" s="1" t="str">
        <x:v>Dine-in orders</x:v>
      </x:c>
      <x:c r="D8" s="1" t="str">
        <x:v>orders/month</x:v>
      </x:c>
      <x:c r="E8" s="30" t="n">
        <x:f>'Inputs'!$E$73*'Inputs'!$E$14*'Inputs'!$E$48</x:f>
        <x:v>360</x:v>
      </x:c>
      <x:c r="F8" s="31" t="n">
        <x:f>0</x:f>
        <x:v>0</x:v>
      </x:c>
      <x:c r="G8" s="30" t="n">
        <x:f>E8+F8*'Inputs'!$E$16</x:f>
        <x:v>360</x:v>
      </x:c>
      <x:c r="H8" s="1"/>
      <x:c r="I8" s="1" t="str">
        <x:v>Combined follows the night-enabled input.</x:v>
      </x:c>
      <x:c r="J8" s="1"/>
      <x:c r="K8" s="1"/>
      <x:c r="L8" s="1"/>
      <x:c r="M8" s="1"/>
      <x:c r="N8" s="1"/>
      <x:c r="O8" s="1"/>
      <x:c r="P8" s="1"/>
    </x:row>
    <x:row r="9" ht="22" customHeight="1">
      <x:c r="A9" s="1"/>
      <x:c r="B9" s="1"/>
      <x:c r="C9" s="1" t="str">
        <x:v>Direct takeaway orders</x:v>
      </x:c>
      <x:c r="D9" s="1" t="str">
        <x:v>orders/month</x:v>
      </x:c>
      <x:c r="E9" s="30" t="n">
        <x:f>'Inputs'!$E$78*'Inputs'!$E$14*'Inputs'!$E$48</x:f>
        <x:v>1530</x:v>
      </x:c>
      <x:c r="F9" s="30" t="n">
        <x:f>'Inputs'!$E$113*'Inputs'!$E$15*(1-'Inputs'!$E$25)*'Inputs'!$E$48</x:f>
        <x:v>416</x:v>
      </x:c>
      <x:c r="G9" s="30" t="n">
        <x:f>E9+F9*'Inputs'!$E$16</x:f>
        <x:v>1530</x:v>
      </x:c>
      <x:c r="H9" s="1"/>
      <x:c r="I9" s="1"/>
      <x:c r="J9" s="1"/>
      <x:c r="K9" s="1"/>
      <x:c r="L9" s="1"/>
      <x:c r="M9" s="1"/>
      <x:c r="N9" s="1"/>
      <x:c r="O9" s="1"/>
      <x:c r="P9" s="1"/>
    </x:row>
    <x:row r="10" ht="22" customHeight="1">
      <x:c r="A10" s="1"/>
      <x:c r="B10" s="1"/>
      <x:c r="C10" s="1" t="str">
        <x:v>Delivery orders</x:v>
      </x:c>
      <x:c r="D10" s="1" t="str">
        <x:v>orders/month</x:v>
      </x:c>
      <x:c r="E10" s="30" t="n">
        <x:f>'Inputs'!$E$83*'Inputs'!$E$14*'Inputs'!$E$48</x:f>
        <x:v>360</x:v>
      </x:c>
      <x:c r="F10" s="30" t="n">
        <x:f>'Inputs'!$E$113*'Inputs'!$E$15*'Inputs'!$E$25*'Inputs'!$E$48</x:f>
        <x:v>104</x:v>
      </x:c>
      <x:c r="G10" s="30" t="n">
        <x:f>E10+F10*'Inputs'!$E$16</x:f>
        <x:v>360</x:v>
      </x:c>
      <x:c r="H10" s="1"/>
      <x:c r="I10" s="1" t="str">
        <x:v>PBJT is removed from customer tickets.</x:v>
      </x:c>
      <x:c r="J10" s="1"/>
      <x:c r="K10" s="1"/>
      <x:c r="L10" s="1"/>
      <x:c r="M10" s="1"/>
      <x:c r="N10" s="1"/>
      <x:c r="O10" s="1"/>
      <x:c r="P10" s="1"/>
    </x:row>
    <x:row r="11" ht="22" customHeight="1">
      <x:c r="A11" s="1"/>
      <x:c r="B11" s="1"/>
      <x:c r="C11" s="40" t="str">
        <x:v>Total paid orders</x:v>
      </x:c>
      <x:c r="D11" s="40" t="str">
        <x:v>orders/month</x:v>
      </x:c>
      <x:c r="E11" s="41" t="n">
        <x:f>SUM(E8:E10)</x:f>
        <x:v>2250</x:v>
      </x:c>
      <x:c r="F11" s="41" t="n">
        <x:f>SUM(F8:F10)</x:f>
        <x:v>520</x:v>
      </x:c>
      <x:c r="G11" s="42" t="n">
        <x:f>E11+F11*'Inputs'!$E$16</x:f>
        <x:v>2250</x:v>
      </x:c>
      <x:c r="H11" s="1"/>
      <x:c r="I11" s="1"/>
      <x:c r="J11" s="1"/>
      <x:c r="K11" s="1"/>
      <x:c r="L11" s="1"/>
      <x:c r="M11" s="1"/>
      <x:c r="N11" s="1"/>
      <x:c r="O11" s="1"/>
      <x:c r="P11" s="1"/>
    </x:row>
    <x:row r="12" ht="22" customHeight="1">
      <x:c r="A12" s="1"/>
      <x:c r="B12" s="1"/>
      <x:c r="C12" s="1" t="str">
        <x:v>Orders per active day/night</x:v>
      </x:c>
      <x:c r="D12" s="1" t="str">
        <x:v>orders/day</x:v>
      </x:c>
      <x:c r="E12" s="35" t="n">
        <x:f>E11/'Inputs'!$E$14</x:f>
        <x:v>75</x:v>
      </x:c>
      <x:c r="F12" s="35" t="n">
        <x:f>F11/'Inputs'!$E$15</x:f>
        <x:v>40</x:v>
      </x:c>
      <x:c r="G12" s="36"/>
      <x:c r="H12" s="1"/>
      <x:c r="I12" s="1" t="str">
        <x:v>All volumes are planning hypotheses.</x:v>
      </x:c>
      <x:c r="J12" s="1"/>
      <x:c r="K12" s="1"/>
      <x:c r="L12" s="1"/>
      <x:c r="M12" s="1"/>
      <x:c r="N12" s="1"/>
      <x:c r="O12" s="1"/>
      <x:c r="P12" s="1"/>
    </x:row>
    <x:row r="13" ht="22" customHeight="1">
      <x:c r="A13" s="1"/>
      <x:c r="B13" s="1"/>
      <x:c r="C13" s="1"/>
      <x:c r="D13" s="1"/>
      <x:c r="E13" s="32"/>
      <x:c r="F13" s="32"/>
      <x:c r="G13" s="32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22" customHeight="1">
      <x:c r="A14" s="1"/>
      <x:c r="B14" s="1"/>
      <x:c r="C14" s="1" t="str">
        <x:v>Dine-in menu sales ex-PBJT</x:v>
      </x:c>
      <x:c r="D14" s="1"/>
      <x:c r="E14" s="30" t="n">
        <x:f>E8*'Inputs'!$E$88/(1+'Inputs'!$E$17)</x:f>
        <x:v>33214090.909090906</x:v>
      </x:c>
      <x:c r="F14" s="31" t="n">
        <x:f>0</x:f>
        <x:v>0</x:v>
      </x:c>
      <x:c r="G14" s="30" t="n">
        <x:f>E14+F14*'Inputs'!$E$16</x:f>
        <x:v>33214090.909090906</x:v>
      </x:c>
      <x:c r="H14" s="1"/>
      <x:c r="I14" s="1"/>
      <x:c r="J14" s="1"/>
      <x:c r="K14" s="1"/>
      <x:c r="L14" s="1"/>
      <x:c r="M14" s="1"/>
      <x:c r="N14" s="1"/>
      <x:c r="O14" s="1"/>
      <x:c r="P14" s="1"/>
    </x:row>
    <x:row r="15" ht="22" customHeight="1">
      <x:c r="A15" s="1"/>
      <x:c r="B15" s="1"/>
      <x:c r="C15" s="1" t="str">
        <x:v>Direct menu sales ex-PBJT</x:v>
      </x:c>
      <x:c r="D15" s="1"/>
      <x:c r="E15" s="30" t="n">
        <x:f>E9*'Inputs'!$E$93/(1+'Inputs'!$E$17)</x:f>
        <x:v>141159886.36363634</x:v>
      </x:c>
      <x:c r="F15" s="30" t="n">
        <x:f>F9*'Inputs'!$E$118/(1+'Inputs'!$E$17)</x:f>
        <x:v>28363636.36363636</x:v>
      </x:c>
      <x:c r="G15" s="30" t="n">
        <x:f>E15+F15*'Inputs'!$E$16</x:f>
        <x:v>141159886.36363634</x:v>
      </x:c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22" customHeight="1">
      <x:c r="A16" s="1"/>
      <x:c r="B16" s="1"/>
      <x:c r="C16" s="1" t="str">
        <x:v>Delivery menu sales ex-PBJT</x:v>
      </x:c>
      <x:c r="D16" s="1"/>
      <x:c r="E16" s="30" t="n">
        <x:f>E10*'Inputs'!$E$98/(1+'Inputs'!$E$17)</x:f>
        <x:v>48842590.90909091</x:v>
      </x:c>
      <x:c r="F16" s="30" t="n">
        <x:f>F10*'Inputs'!$E$123/(1+'Inputs'!$E$17)</x:f>
        <x:v>8981818.181818182</x:v>
      </x:c>
      <x:c r="G16" s="30" t="n">
        <x:f>E16+F16*'Inputs'!$E$16</x:f>
        <x:v>48842590.90909091</x:v>
      </x:c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22" customHeight="1">
      <x:c r="A17" s="1"/>
      <x:c r="B17" s="1"/>
      <x:c r="C17" s="1" t="str">
        <x:v>Merchant-funded discounts</x:v>
      </x:c>
      <x:c r="D17" s="1"/>
      <x:c r="E17" s="30" t="n">
        <x:f>E15*'Inputs'!$E$18+E16*'Inputs'!$E$19</x:f>
        <x:v>6242179.090909091</x:v>
      </x:c>
      <x:c r="F17" s="30" t="n">
        <x:f>F15*'Inputs'!$E$18+F16*'Inputs'!$E$19</x:f>
        <x:v>1196000</x:v>
      </x:c>
      <x:c r="G17" s="30" t="n">
        <x:f>E17+F17*'Inputs'!$E$16</x:f>
        <x:v>6242179.090909091</x:v>
      </x:c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22" customHeight="1">
      <x:c r="A18" s="1"/>
      <x:c r="B18" s="1"/>
      <x:c r="C18" s="40" t="str">
        <x:v>Net revenue after discounts</x:v>
      </x:c>
      <x:c r="D18" s="40"/>
      <x:c r="E18" s="41" t="n">
        <x:f>SUM(E14:E16)-E17</x:f>
        <x:v>216974389.09090906</x:v>
      </x:c>
      <x:c r="F18" s="41" t="n">
        <x:f>SUM(F14:F16)-F17</x:f>
        <x:v>36149454.54545454</x:v>
      </x:c>
      <x:c r="G18" s="42" t="n">
        <x:f>E18+F18*'Inputs'!$E$16</x:f>
        <x:v>216974389.09090906</x:v>
      </x:c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22" customHeight="1">
      <x:c r="A19" s="1"/>
      <x:c r="B19" s="1"/>
      <x:c r="C19" s="1"/>
      <x:c r="D19" s="1"/>
      <x:c r="E19" s="32"/>
      <x:c r="F19" s="32"/>
      <x:c r="G19" s="32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2" customHeight="1">
      <x:c r="A20" s="1"/>
      <x:c r="B20" s="1"/>
      <x:c r="C20" s="1" t="str">
        <x:v>Ingredients</x:v>
      </x:c>
      <x:c r="D20" s="1"/>
      <x:c r="E20" s="30" t="n">
        <x:f>E8*'Baskets'!H66+E9*'Baskets'!H67+E10*'Baskets'!H68</x:f>
        <x:v>71668008.45394738</x:v>
      </x:c>
      <x:c r="F20" s="30" t="n">
        <x:f>SUM(F14:F16)*('Inputs'!$E$128+'Inputs'!$E$49)</x:f>
        <x:v>13444363.636363633</x:v>
      </x:c>
      <x:c r="G20" s="30" t="n">
        <x:f>E20+F20*'Inputs'!$E$16</x:f>
        <x:v>71668008.45394738</x:v>
      </x:c>
      <x:c r="H20" s="1"/>
      <x:c r="I20" s="1" t="str">
        <x:v>Menu recipes x selected purchase mix; supplier quotes not received.</x:v>
      </x:c>
      <x:c r="J20" s="1"/>
      <x:c r="K20" s="1"/>
      <x:c r="L20" s="1"/>
      <x:c r="M20" s="1"/>
      <x:c r="N20" s="1"/>
      <x:c r="O20" s="1"/>
      <x:c r="P20" s="1"/>
    </x:row>
    <x:row r="21" ht="22" customHeight="1">
      <x:c r="A21" s="1"/>
      <x:c r="B21" s="1"/>
      <x:c r="C21" s="1" t="str">
        <x:v>Waste</x:v>
      </x:c>
      <x:c r="D21" s="1"/>
      <x:c r="E21" s="30" t="n">
        <x:f>SUM(E14:E16)*'Inputs'!$E$108</x:f>
        <x:v>6696497.045454544</x:v>
      </x:c>
      <x:c r="F21" s="30" t="n">
        <x:f>SUM(F14:F16)*'Inputs'!$E$133</x:f>
        <x:v>1120363.6363636362</x:v>
      </x:c>
      <x:c r="G21" s="30" t="n">
        <x:f>E21+F21*'Inputs'!$E$16</x:f>
        <x:v>6696497.045454544</x:v>
      </x:c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22" customHeight="1">
      <x:c r="A22" s="1"/>
      <x:c r="B22" s="1"/>
      <x:c r="C22" s="1" t="str">
        <x:v>Packaging / consumables</x:v>
      </x:c>
      <x:c r="D22" s="1"/>
      <x:c r="E22" s="30" t="n">
        <x:f>E8*'Baskets'!I66+E9*'Baskets'!I67+E10*'Baskets'!I68</x:f>
        <x:v>9677925</x:v>
      </x:c>
      <x:c r="F22" s="30" t="n">
        <x:f>F8*'Inputs'!$E$22+F9*'Inputs'!$E$26+F10*'Inputs'!$E$24</x:f>
        <x:v>2184000</x:v>
      </x:c>
      <x:c r="G22" s="30" t="n">
        <x:f>E22+F22*'Inputs'!$E$16</x:f>
        <x:v>9677925</x:v>
      </x:c>
      <x:c r="H22" s="1"/>
      <x:c r="I22" s="1" t="str">
        <x:v>Packaging follows drink / sandwich / combined basket.</x:v>
      </x:c>
      <x:c r="J22" s="1"/>
      <x:c r="K22" s="1"/>
      <x:c r="L22" s="1"/>
      <x:c r="M22" s="1"/>
      <x:c r="N22" s="1"/>
      <x:c r="O22" s="1"/>
      <x:c r="P22" s="1"/>
    </x:row>
    <x:row r="23" ht="22" customHeight="1">
      <x:c r="A23" s="1"/>
      <x:c r="B23" s="1"/>
      <x:c r="C23" s="1" t="str">
        <x:v>Platform fees</x:v>
      </x:c>
      <x:c r="D23" s="1"/>
      <x:c r="E23" s="30" t="n">
        <x:f>E16*(1-'Inputs'!$E$19)*'Inputs'!$E$20</x:f>
        <x:v>11355902.386363635</x:v>
      </x:c>
      <x:c r="F23" s="30" t="n">
        <x:f>F16*(1-'Inputs'!$E$19)*'Inputs'!$E$20</x:f>
        <x:v>2088272.727272727</x:v>
      </x:c>
      <x:c r="G23" s="30" t="n">
        <x:f>E23+F23*'Inputs'!$E$16</x:f>
        <x:v>11355902.386363635</x:v>
      </x:c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22" customHeight="1">
      <x:c r="A24" s="1"/>
      <x:c r="B24" s="1"/>
      <x:c r="C24" s="1" t="str">
        <x:v>Direct payment fees</x:v>
      </x:c>
      <x:c r="D24" s="1"/>
      <x:c r="E24" s="30" t="n">
        <x:f>(E14+E15*(1-'Inputs'!$E$18))*'Inputs'!$E$21</x:f>
        <x:v>1715507.7954545454</x:v>
      </x:c>
      <x:c r="F24" s="30" t="n">
        <x:f>(F14+F15*(1-'Inputs'!$E$18))*'Inputs'!$E$21</x:f>
        <x:v>277963.63636363635</x:v>
      </x:c>
      <x:c r="G24" s="30" t="n">
        <x:f>E24+F24*'Inputs'!$E$16</x:f>
        <x:v>1715507.7954545454</x:v>
      </x:c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22" customHeight="1">
      <x:c r="A25" s="1"/>
      <x:c r="B25" s="1"/>
      <x:c r="C25" s="40" t="str">
        <x:v>Total variable costs</x:v>
      </x:c>
      <x:c r="D25" s="40"/>
      <x:c r="E25" s="41" t="n">
        <x:f>SUM(E20:E24)</x:f>
        <x:v>101113840.68122011</x:v>
      </x:c>
      <x:c r="F25" s="41" t="n">
        <x:f>SUM(F20:F24)</x:f>
        <x:v>19114963.636363633</x:v>
      </x:c>
      <x:c r="G25" s="42" t="n">
        <x:f>E25+F25*'Inputs'!$E$16</x:f>
        <x:v>101113840.68122011</x:v>
      </x:c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22" customHeight="1">
      <x:c r="A26" s="1"/>
      <x:c r="B26" s="1"/>
      <x:c r="C26" s="1"/>
      <x:c r="D26" s="1"/>
      <x:c r="E26" s="32"/>
      <x:c r="F26" s="32"/>
      <x:c r="G26" s="32"/>
      <x:c r="H26" s="1"/>
      <x:c r="I26" s="1"/>
      <x:c r="J26" s="1"/>
      <x:c r="K26" s="1"/>
      <x:c r="L26" s="1"/>
      <x:c r="M26" s="1"/>
      <x:c r="N26" s="1"/>
      <x:c r="O26" s="1"/>
      <x:c r="P26" s="1"/>
    </x:row>
    <x:row r="27" ht="22" customHeight="1">
      <x:c r="A27" s="1"/>
      <x:c r="B27" s="1"/>
      <x:c r="C27" s="40" t="str">
        <x:v>Contribution after variable costs</x:v>
      </x:c>
      <x:c r="D27" s="40"/>
      <x:c r="E27" s="41" t="n">
        <x:f>E18-E25</x:f>
        <x:v>115860548.40968895</x:v>
      </x:c>
      <x:c r="F27" s="41" t="n">
        <x:f>F18-F25</x:f>
        <x:v>17034490.909090906</x:v>
      </x:c>
      <x:c r="G27" s="42" t="n">
        <x:f>E27+F27*'Inputs'!$E$16</x:f>
        <x:v>115860548.40968895</x:v>
      </x:c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22" customHeight="1">
      <x:c r="A28" s="1"/>
      <x:c r="B28" s="1"/>
      <x:c r="C28" s="1" t="str">
        <x:v>Contribution margin</x:v>
      </x:c>
      <x:c r="D28" s="1" t="str">
        <x:v>rate</x:v>
      </x:c>
      <x:c r="E28" s="33" t="n">
        <x:f>IF(E18=0,"n.a.",E27/E18)</x:f>
        <x:v>0.5339825999516703</x:v>
      </x:c>
      <x:c r="F28" s="33" t="n">
        <x:f>IF(F18=0,"n.a.",F27/F18)</x:f>
        <x:v>0.47122400941545706</x:v>
      </x:c>
      <x:c r="G28" s="33" t="n">
        <x:f>G27/G18</x:f>
        <x:v>0.5339825999516703</x:v>
      </x:c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2" customHeight="1">
      <x:c r="A29" s="1"/>
      <x:c r="B29" s="1"/>
      <x:c r="C29" s="1" t="str">
        <x:v>Contribution per order</x:v>
      </x:c>
      <x:c r="D29" s="1"/>
      <x:c r="E29" s="31" t="n">
        <x:f>IF(E11=0,"n.a.",E27/E11)</x:f>
        <x:v>51493.57707097287</x:v>
      </x:c>
      <x:c r="F29" s="31" t="n">
        <x:f>IF(F11=0,"n.a.",F27/F11)</x:f>
        <x:v>32758.636363636357</x:v>
      </x:c>
      <x:c r="G29" s="32"/>
      <x:c r="H29" s="1"/>
      <x:c r="I29" s="1"/>
      <x:c r="J29" s="1"/>
      <x:c r="K29" s="1"/>
      <x:c r="L29" s="1"/>
      <x:c r="M29" s="1"/>
      <x:c r="N29" s="1"/>
      <x:c r="O29" s="1"/>
      <x:c r="P29" s="1"/>
    </x:row>
    <x:row r="30" ht="22" customHeight="1">
      <x:c r="A30" s="1"/>
      <x:c r="B30" s="1"/>
      <x:c r="C30" s="1"/>
      <x:c r="D30" s="1"/>
      <x:c r="E30" s="32"/>
      <x:c r="F30" s="32"/>
      <x:c r="G30" s="32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22" customHeight="1">
      <x:c r="A31" s="1"/>
      <x:c r="B31" s="1"/>
      <x:c r="C31" s="1" t="str">
        <x:v>Base wages / shift pay</x:v>
      </x:c>
      <x:c r="D31" s="1"/>
      <x:c r="E31" s="30" t="n">
        <x:f>'Inputs'!$E$27+'Inputs'!$E$28*'Inputs'!$E$29</x:f>
        <x:v>36000000</x:v>
      </x:c>
      <x:c r="F31" s="30" t="n">
        <x:f>'Inputs'!$E$40*'Inputs'!$E$41*'Inputs'!$E$15</x:f>
        <x:v>7800000</x:v>
      </x:c>
      <x:c r="G31" s="30" t="n">
        <x:f>E31+F31*'Inputs'!$E$16</x:f>
        <x:v>36000000</x:v>
      </x:c>
      <x:c r="H31" s="1"/>
      <x:c r="I31" s="1" t="str">
        <x:v>Day: 6 crew plus 1 manager.</x:v>
      </x:c>
      <x:c r="J31" s="1"/>
      <x:c r="K31" s="1"/>
      <x:c r="L31" s="1"/>
      <x:c r="M31" s="1"/>
      <x:c r="N31" s="1"/>
      <x:c r="O31" s="1"/>
      <x:c r="P31" s="1"/>
    </x:row>
    <x:row r="32" ht="22" customHeight="1">
      <x:c r="A32" s="1"/>
      <x:c r="B32" s="1"/>
      <x:c r="C32" s="1" t="str">
        <x:v>THR provision</x:v>
      </x:c>
      <x:c r="D32" s="1"/>
      <x:c r="E32" s="30" t="n">
        <x:f>E31*'Inputs'!$E$30</x:f>
        <x:v>3000000</x:v>
      </x:c>
      <x:c r="F32" s="30" t="n">
        <x:f>F31*'Inputs'!$E$30</x:f>
        <x:v>650000</x:v>
      </x:c>
      <x:c r="G32" s="30" t="n">
        <x:f>E32+F32*'Inputs'!$E$16</x:f>
        <x:v>3000000</x:v>
      </x:c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22" customHeight="1">
      <x:c r="A33" s="1"/>
      <x:c r="B33" s="1"/>
      <x:c r="C33" s="1" t="str">
        <x:v>Employer contributions provision</x:v>
      </x:c>
      <x:c r="D33" s="1"/>
      <x:c r="E33" s="30" t="n">
        <x:f>E31*'Inputs'!$E$31</x:f>
        <x:v>3794400</x:v>
      </x:c>
      <x:c r="F33" s="30" t="n">
        <x:f>F31*'Inputs'!$E$31</x:f>
        <x:v>822120</x:v>
      </x:c>
      <x:c r="G33" s="30" t="n">
        <x:f>E33+F33*'Inputs'!$E$16</x:f>
        <x:v>3794400</x:v>
      </x:c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22" customHeight="1">
      <x:c r="A34" s="1"/>
      <x:c r="B34" s="1"/>
      <x:c r="C34" s="1" t="str">
        <x:v>Meals, relief and oversight</x:v>
      </x:c>
      <x:c r="D34" s="1"/>
      <x:c r="E34" s="30" t="n">
        <x:f>'Inputs'!$E$32+'Inputs'!$E$33</x:f>
        <x:v>5100000</x:v>
      </x:c>
      <x:c r="F34" s="30" t="n">
        <x:f>'Inputs'!$E$44</x:f>
        <x:v>1000000</x:v>
      </x:c>
      <x:c r="G34" s="30" t="n">
        <x:f>E34+F34*'Inputs'!$E$16</x:f>
        <x:v>5100000</x:v>
      </x:c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22" customHeight="1">
      <x:c r="A35" s="1"/>
      <x:c r="B35" s="1"/>
      <x:c r="C35" s="40" t="str">
        <x:v>Payroll total</x:v>
      </x:c>
      <x:c r="D35" s="40"/>
      <x:c r="E35" s="41" t="n">
        <x:f>SUM(E31:E34)</x:f>
        <x:v>47894400</x:v>
      </x:c>
      <x:c r="F35" s="41" t="n">
        <x:f>SUM(F31:F34)</x:f>
        <x:v>10272120</x:v>
      </x:c>
      <x:c r="G35" s="42" t="n">
        <x:f>E35+F35*'Inputs'!$E$16</x:f>
        <x:v>47894400</x:v>
      </x:c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2" customHeight="1">
      <x:c r="A36" s="1"/>
      <x:c r="B36" s="1"/>
      <x:c r="C36" s="1" t="str">
        <x:v>Utilities</x:v>
      </x:c>
      <x:c r="D36" s="1"/>
      <x:c r="E36" s="30" t="n">
        <x:f>'Inputs'!$E$34</x:f>
        <x:v>6000000</x:v>
      </x:c>
      <x:c r="F36" s="30" t="n">
        <x:f>'Inputs'!$E$43</x:f>
        <x:v>1000000</x:v>
      </x:c>
      <x:c r="G36" s="30" t="n">
        <x:f>E36+F36*'Inputs'!$E$16</x:f>
        <x:v>6000000</x:v>
      </x:c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2" customHeight="1">
      <x:c r="A37" s="1"/>
      <x:c r="B37" s="1"/>
      <x:c r="C37" s="1" t="str">
        <x:v>Marketing</x:v>
      </x:c>
      <x:c r="D37" s="1"/>
      <x:c r="E37" s="30" t="n">
        <x:f>'Inputs'!$E$35</x:f>
        <x:v>4000000</x:v>
      </x:c>
      <x:c r="F37" s="31" t="n">
        <x:f>0</x:f>
        <x:v>0</x:v>
      </x:c>
      <x:c r="G37" s="30" t="n">
        <x:f>E37+F37*'Inputs'!$E$16</x:f>
        <x:v>4000000</x:v>
      </x:c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22" customHeight="1">
      <x:c r="A38" s="1"/>
      <x:c r="B38" s="1"/>
      <x:c r="C38" s="1" t="str">
        <x:v>Admin, maintenance, service, cleaning</x:v>
      </x:c>
      <x:c r="D38" s="1"/>
      <x:c r="E38" s="30" t="n">
        <x:f>SUM('Inputs'!$E$36,'Inputs'!$E$37,'Inputs'!$E$38,'Inputs'!$E$39)</x:f>
        <x:v>8000000</x:v>
      </x:c>
      <x:c r="F38" s="31" t="n">
        <x:f>0</x:f>
        <x:v>0</x:v>
      </x:c>
      <x:c r="G38" s="30" t="n">
        <x:f>E38+F38*'Inputs'!$E$16</x:f>
        <x:v>8000000</x:v>
      </x:c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22" customHeight="1">
      <x:c r="A39" s="1"/>
      <x:c r="B39" s="1"/>
      <x:c r="C39" s="40" t="str">
        <x:v>Non-rent fixed cost total</x:v>
      </x:c>
      <x:c r="D39" s="40"/>
      <x:c r="E39" s="41" t="n">
        <x:f>SUM(E35:E38)</x:f>
        <x:v>65894400</x:v>
      </x:c>
      <x:c r="F39" s="41" t="n">
        <x:f>SUM(F35:F38)</x:f>
        <x:v>11272120</x:v>
      </x:c>
      <x:c r="G39" s="42" t="n">
        <x:f>E39+F39*'Inputs'!$E$16</x:f>
        <x:v>65894400</x:v>
      </x:c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22" customHeight="1">
      <x:c r="A40" s="1"/>
      <x:c r="B40" s="1"/>
      <x:c r="C40" s="1" t="str">
        <x:v>Rent expense including assumed tax</x:v>
      </x:c>
      <x:c r="D40" s="1"/>
      <x:c r="E40" s="31" t="n">
        <x:f>E56+E58</x:f>
        <x:v>44444444.44444444</x:v>
      </x:c>
      <x:c r="F40" s="31" t="n">
        <x:f>0</x:f>
        <x:v>0</x:v>
      </x:c>
      <x:c r="G40" s="30" t="n">
        <x:f>E40+F40*'Inputs'!$E$16</x:f>
        <x:v>44444444.44444444</x:v>
      </x:c>
      <x:c r="H40" s="1"/>
      <x:c r="I40" s="1" t="str">
        <x:v>Rental gross-up assumed; VAT still unknown.</x:v>
      </x:c>
      <x:c r="J40" s="1"/>
      <x:c r="K40" s="1"/>
      <x:c r="L40" s="1"/>
      <x:c r="M40" s="1"/>
      <x:c r="N40" s="1"/>
      <x:c r="O40" s="1"/>
      <x:c r="P40" s="1"/>
    </x:row>
    <x:row r="41" ht="22" customHeight="1">
      <x:c r="A41" s="1"/>
      <x:c r="B41" s="1"/>
      <x:c r="C41" s="1" t="str">
        <x:v>Night security</x:v>
      </x:c>
      <x:c r="D41" s="1"/>
      <x:c r="E41" s="31" t="n">
        <x:f>0</x:f>
        <x:v>0</x:v>
      </x:c>
      <x:c r="F41" s="30" t="n">
        <x:f>'Inputs'!$E$42*'Inputs'!$E$15</x:f>
        <x:v>2600000</x:v>
      </x:c>
      <x:c r="G41" s="30" t="n">
        <x:f>E41+F41*'Inputs'!$E$16</x:f>
        <x:v>0</x:v>
      </x:c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22" customHeight="1">
      <x:c r="A42" s="1"/>
      <x:c r="B42" s="1"/>
      <x:c r="C42" s="40" t="str">
        <x:v>Total fixed costs</x:v>
      </x:c>
      <x:c r="D42" s="40"/>
      <x:c r="E42" s="41" t="n">
        <x:f>SUM(E39:E41)</x:f>
        <x:v>110338844.44444445</x:v>
      </x:c>
      <x:c r="F42" s="41" t="n">
        <x:f>SUM(F39:F41)</x:f>
        <x:v>13872120</x:v>
      </x:c>
      <x:c r="G42" s="42" t="n">
        <x:f>E42+F42*'Inputs'!$E$16</x:f>
        <x:v>110338844.44444445</x:v>
      </x:c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22" customHeight="1">
      <x:c r="A43" s="1"/>
      <x:c r="B43" s="1"/>
      <x:c r="C43" s="1"/>
      <x:c r="D43" s="1"/>
      <x:c r="E43" s="32"/>
      <x:c r="F43" s="32"/>
      <x:c r="G43" s="32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22" customHeight="1">
      <x:c r="A44" s="1"/>
      <x:c r="B44" s="1"/>
      <x:c r="C44" s="40" t="str">
        <x:v>Operating surplus before income-tax provision</x:v>
      </x:c>
      <x:c r="D44" s="40"/>
      <x:c r="E44" s="41" t="n">
        <x:f>E27-E42</x:f>
        <x:v>5521703.965244502</x:v>
      </x:c>
      <x:c r="F44" s="41" t="n">
        <x:f>F27-F42</x:f>
        <x:v>3162370.9090909064</x:v>
      </x:c>
      <x:c r="G44" s="42" t="n">
        <x:f>E44+F44*'Inputs'!$E$16</x:f>
        <x:v>5521703.965244502</x:v>
      </x:c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22" customHeight="1">
      <x:c r="A45" s="1"/>
      <x:c r="B45" s="1"/>
      <x:c r="C45" s="1" t="str">
        <x:v>Income-tax cash provision</x:v>
      </x:c>
      <x:c r="D45" s="1"/>
      <x:c r="E45" s="30" t="n">
        <x:f>MAX(0,E44)*'Inputs'!$E$45</x:f>
        <x:v>1214774.8723537903</x:v>
      </x:c>
      <x:c r="F45" s="30" t="n">
        <x:f>MAX(0,F44)*'Inputs'!$E$45</x:f>
        <x:v>695721.5999999994</x:v>
      </x:c>
      <x:c r="G45" s="30" t="n">
        <x:f>MAX(0,G44)*'Inputs'!$E$45</x:f>
        <x:v>1214774.8723537903</x:v>
      </x:c>
      <x:c r="H45" s="1"/>
      <x:c r="I45" s="1"/>
      <x:c r="J45" s="1"/>
      <x:c r="K45" s="1"/>
      <x:c r="L45" s="1"/>
      <x:c r="M45" s="1"/>
      <x:c r="N45" s="1"/>
      <x:c r="O45" s="1"/>
      <x:c r="P45" s="1"/>
    </x:row>
    <x:row r="46" ht="22" customHeight="1">
      <x:c r="A46" s="1"/>
      <x:c r="B46" s="1"/>
      <x:c r="C46" s="1" t="str">
        <x:v>Equipment replacement reserve</x:v>
      </x:c>
      <x:c r="D46" s="1"/>
      <x:c r="E46" s="30" t="n">
        <x:f>'Inputs'!$E$46</x:f>
        <x:v>1000000</x:v>
      </x:c>
      <x:c r="F46" s="30" t="n">
        <x:f>'Inputs'!$E$47</x:f>
        <x:v>300000</x:v>
      </x:c>
      <x:c r="G46" s="30" t="n">
        <x:f>E46+F46*'Inputs'!$E$16</x:f>
        <x:v>1000000</x:v>
      </x:c>
      <x:c r="H46" s="1"/>
      <x:c r="I46" s="1"/>
      <x:c r="J46" s="1"/>
      <x:c r="K46" s="1"/>
      <x:c r="L46" s="1"/>
      <x:c r="M46" s="1"/>
      <x:c r="N46" s="1"/>
      <x:c r="O46" s="1"/>
      <x:c r="P46" s="1"/>
    </x:row>
    <x:row r="47" ht="22" customHeight="1">
      <x:c r="A47" s="1"/>
      <x:c r="B47" s="1"/>
      <x:c r="C47" s="40" t="str">
        <x:v>Cash surplus after tax provision and reserve</x:v>
      </x:c>
      <x:c r="D47" s="40"/>
      <x:c r="E47" s="41" t="n">
        <x:f>E44-E45-E46</x:f>
        <x:v>3306929.0928907115</x:v>
      </x:c>
      <x:c r="F47" s="41" t="n">
        <x:f>F44-F45-F46</x:f>
        <x:v>2166649.3090909068</x:v>
      </x:c>
      <x:c r="G47" s="41" t="n">
        <x:f>G44-G45-G46</x:f>
        <x:v>3306929.0928907115</x:v>
      </x:c>
      <x:c r="H47" s="1"/>
      <x:c r="I47" s="1" t="str">
        <x:v>Before debt, owner distributions and tax true-up.</x:v>
      </x:c>
      <x:c r="J47" s="1"/>
      <x:c r="K47" s="1"/>
      <x:c r="L47" s="1"/>
      <x:c r="M47" s="1"/>
      <x:c r="N47" s="1"/>
      <x:c r="O47" s="1"/>
      <x:c r="P47" s="1"/>
    </x:row>
    <x:row r="48" ht="22" customHeight="1">
      <x:c r="A48" s="1"/>
      <x:c r="B48" s="1"/>
      <x:c r="C48" s="1"/>
      <x:c r="D48" s="1"/>
      <x:c r="E48" s="32"/>
      <x:c r="F48" s="32"/>
      <x:c r="G48" s="32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22" customHeight="1">
      <x:c r="A49" s="1"/>
      <x:c r="B49" s="1"/>
      <x:c r="C49" s="1" t="str">
        <x:v>Break-even orders per active day/night</x:v>
      </x:c>
      <x:c r="D49" s="1" t="str">
        <x:v>orders/day</x:v>
      </x:c>
      <x:c r="E49" s="35" t="n">
        <x:f>IF(E11=0,"n.a.",(E42+E46/(1-'Inputs'!$E$45))/E29/'Inputs'!$E$14)</x:f>
        <x:v>72.25554595067926</x:v>
      </x:c>
      <x:c r="F49" s="35" t="n">
        <x:f>IF(F11=0,"n.a.",(F42+F46/(1-'Inputs'!$E$45))/F29/'Inputs'!$E$15)</x:f>
        <x:v>33.47733832657576</x:v>
      </x:c>
      <x:c r="G49" s="36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22" customHeight="1">
      <x:c r="A50" s="1"/>
      <x:c r="B50" s="1"/>
      <x:c r="C50" s="1" t="str">
        <x:v>Orders for illustrative cash-surplus target</x:v>
      </x:c>
      <x:c r="D50" s="1" t="str">
        <x:v>orders/day</x:v>
      </x:c>
      <x:c r="E50" s="35" t="n">
        <x:f>IF(E11=0,"n.a.",(E42+('Inputs'!$E$63+E46)/(1-'Inputs'!$E$45))/E29/'Inputs'!$E$14)</x:f>
        <x:v>93.00329992596713</x:v>
      </x:c>
      <x:c r="F50" s="35" t="n">
        <x:f>IF(F11=0,"n.a.",(F42+('Inputs'!$E$63+F46)/(1-'Inputs'!$E$45))/F29/'Inputs'!$E$15)</x:f>
        <x:v>108.73942211254213</x:v>
      </x:c>
      <x:c r="G50" s="36"/>
      <x:c r="H50" s="1"/>
      <x:c r="I50" s="1"/>
      <x:c r="J50" s="1"/>
      <x:c r="K50" s="1"/>
      <x:c r="L50" s="1"/>
      <x:c r="M50" s="1"/>
      <x:c r="N50" s="1"/>
      <x:c r="O50" s="1"/>
      <x:c r="P50" s="1"/>
    </x:row>
    <x:row r="51" ht="22" customHeight="1">
      <x:c r="A51" s="1"/>
      <x:c r="B51" s="1"/>
      <x:c r="C51" s="1" t="str">
        <x:v>Rent / net revenue</x:v>
      </x:c>
      <x:c r="D51" s="1" t="str">
        <x:v>rate</x:v>
      </x:c>
      <x:c r="E51" s="33" t="n">
        <x:f>E40/E18</x:f>
        <x:v>0.20483728347230362</x:v>
      </x:c>
      <x:c r="F51" s="34"/>
      <x:c r="G51" s="34"/>
      <x:c r="H51" s="1"/>
      <x:c r="I51" s="1"/>
      <x:c r="J51" s="1"/>
      <x:c r="K51" s="1"/>
      <x:c r="L51" s="1"/>
      <x:c r="M51" s="1"/>
      <x:c r="N51" s="1"/>
      <x:c r="O51" s="1"/>
      <x:c r="P51" s="1"/>
    </x:row>
    <x:row r="52" ht="22" customHeight="1">
      <x:c r="A52" s="1"/>
      <x:c r="B52" s="1"/>
      <x:c r="C52" s="1" t="str">
        <x:v>Day orders per seat per day</x:v>
      </x:c>
      <x:c r="D52" s="1" t="str">
        <x:v>orders/day</x:v>
      </x:c>
      <x:c r="E52" s="35" t="n">
        <x:f>E12/'Inputs'!$E$64</x:f>
        <x:v>6.25</x:v>
      </x:c>
      <x:c r="F52" s="36"/>
      <x:c r="G52" s="36"/>
      <x:c r="H52" s="1"/>
      <x:c r="I52" s="1"/>
      <x:c r="J52" s="1"/>
      <x:c r="K52" s="1"/>
      <x:c r="L52" s="1"/>
      <x:c r="M52" s="1"/>
      <x:c r="N52" s="1"/>
      <x:c r="O52" s="1"/>
      <x:c r="P52" s="1"/>
    </x:row>
    <x:row r="53" ht="22" customHeight="1">
      <x:c r="A53" s="1"/>
      <x:c r="B53" s="1"/>
      <x:c r="C53" s="1" t="str">
        <x:v>Day dine-in seat turns</x:v>
      </x:c>
      <x:c r="D53" s="1" t="str">
        <x:v>orders/day</x:v>
      </x:c>
      <x:c r="E53" s="35" t="n">
        <x:f>E8/'Inputs'!$E$14/'Inputs'!$E$64</x:f>
        <x:v>1</x:v>
      </x:c>
      <x:c r="F53" s="36"/>
      <x:c r="G53" s="36"/>
      <x:c r="H53" s="1"/>
      <x:c r="I53" s="1"/>
      <x:c r="J53" s="1"/>
      <x:c r="K53" s="1"/>
      <x:c r="L53" s="1"/>
      <x:c r="M53" s="1"/>
      <x:c r="N53" s="1"/>
      <x:c r="O53" s="1"/>
      <x:c r="P53" s="1"/>
    </x:row>
    <x:row r="54" ht="22" customHeight="1">
      <x:c r="A54" s="1"/>
      <x:c r="B54" s="1"/>
      <x:c r="C54" s="1" t="str">
        <x:v>Orders per hour in peak window</x:v>
      </x:c>
      <x:c r="D54" s="1" t="str">
        <x:v>orders/hour</x:v>
      </x:c>
      <x:c r="E54" s="35" t="n">
        <x:f>E12*'Inputs'!$E$66/'Inputs'!$E$67</x:f>
        <x:v>15</x:v>
      </x:c>
      <x:c r="F54" s="35" t="n">
        <x:f>F12*'Inputs'!$E$66/'Inputs'!$E$67</x:f>
        <x:v>8</x:v>
      </x:c>
      <x:c r="G54" s="36"/>
      <x:c r="H54" s="1"/>
      <x:c r="I54" s="1"/>
      <x:c r="J54" s="1"/>
      <x:c r="K54" s="1"/>
      <x:c r="L54" s="1"/>
      <x:c r="M54" s="1"/>
      <x:c r="N54" s="1"/>
      <x:c r="O54" s="1"/>
      <x:c r="P54" s="1"/>
    </x:row>
    <x:row r="55" ht="22" customHeight="1">
      <x:c r="A55" s="1"/>
      <x:c r="B55" s="1"/>
      <x:c r="C55" s="1"/>
      <x:c r="D55" s="1"/>
      <x:c r="E55" s="32"/>
      <x:c r="F55" s="32"/>
      <x:c r="G55" s="32"/>
      <x:c r="H55" s="1"/>
      <x:c r="I55" s="1"/>
      <x:c r="J55" s="1"/>
      <x:c r="K55" s="1"/>
      <x:c r="L55" s="1"/>
      <x:c r="M55" s="1"/>
      <x:c r="N55" s="1"/>
      <x:c r="O55" s="1"/>
      <x:c r="P55" s="1"/>
    </x:row>
    <x:row r="56" ht="22" customHeight="1">
      <x:c r="A56" s="1"/>
      <x:c r="B56" s="1"/>
      <x:c r="C56" s="1" t="str">
        <x:v>Rental base after possible gross-up</x:v>
      </x:c>
      <x:c r="D56" s="1"/>
      <x:c r="E56" s="30" t="n">
        <x:f>IF('Inputs'!$E$9=1,'Inputs'!$E$8/(1-'Inputs'!$E$10),'Inputs'!$E$8)</x:f>
        <x:v>44444444.44444444</x:v>
      </x:c>
      <x:c r="F56" s="32"/>
      <x:c r="G56" s="32"/>
      <x:c r="H56" s="1"/>
      <x:c r="I56" s="1"/>
      <x:c r="J56" s="1"/>
      <x:c r="K56" s="1"/>
      <x:c r="L56" s="1"/>
      <x:c r="M56" s="1"/>
      <x:c r="N56" s="1"/>
      <x:c r="O56" s="1"/>
      <x:c r="P56" s="1"/>
    </x:row>
    <x:row r="57" ht="22" customHeight="1">
      <x:c r="A57" s="1"/>
      <x:c r="B57" s="1"/>
      <x:c r="C57" s="1" t="str">
        <x:v>Rental withholding in grossed-up amount</x:v>
      </x:c>
      <x:c r="D57" s="1"/>
      <x:c r="E57" s="30" t="n">
        <x:f>E56*'Inputs'!$E$10</x:f>
        <x:v>4444444.444444444</x:v>
      </x:c>
      <x:c r="F57" s="32"/>
      <x:c r="G57" s="32"/>
      <x:c r="H57" s="1"/>
      <x:c r="I57" s="1"/>
      <x:c r="J57" s="1"/>
      <x:c r="K57" s="1"/>
      <x:c r="L57" s="1"/>
      <x:c r="M57" s="1"/>
      <x:c r="N57" s="1"/>
      <x:c r="O57" s="1"/>
      <x:c r="P57" s="1"/>
    </x:row>
    <x:row r="58" ht="22" customHeight="1">
      <x:c r="A58" s="1"/>
      <x:c r="B58" s="1"/>
      <x:c r="C58" s="1" t="str">
        <x:v>Rental VAT assumed cash expense</x:v>
      </x:c>
      <x:c r="D58" s="1"/>
      <x:c r="E58" s="30" t="n">
        <x:f>E56*'Inputs'!$E$11</x:f>
        <x:v>0</x:v>
      </x:c>
      <x:c r="F58" s="32"/>
      <x:c r="G58" s="32"/>
      <x:c r="H58" s="1"/>
      <x:c r="I58" s="1"/>
      <x:c r="J58" s="1"/>
      <x:c r="K58" s="1"/>
      <x:c r="L58" s="1"/>
      <x:c r="M58" s="1"/>
      <x:c r="N58" s="1"/>
      <x:c r="O58" s="1"/>
      <x:c r="P58" s="1"/>
    </x:row>
    <x:row r="59" ht="22" customHeight="1">
      <x:c r="A59" s="1"/>
      <x:c r="B59" s="1"/>
      <x:c r="C59" s="1"/>
      <x:c r="D59" s="1"/>
      <x:c r="E59" s="32"/>
      <x:c r="F59" s="32"/>
      <x:c r="G59" s="32"/>
      <x:c r="H59" s="1"/>
      <x:c r="I59" s="1"/>
      <x:c r="J59" s="1"/>
      <x:c r="K59" s="1"/>
      <x:c r="L59" s="1"/>
      <x:c r="M59" s="1"/>
      <x:c r="N59" s="1"/>
      <x:c r="O59" s="1"/>
      <x:c r="P59" s="1"/>
    </x:row>
    <x:row r="60" ht="22" customHeight="1">
      <x:c r="A60" s="1"/>
      <x:c r="B60" s="1"/>
      <x:c r="C60" s="1" t="str">
        <x:v>Opening fit-out before contingency</x:v>
      </x:c>
      <x:c r="D60" s="1"/>
      <x:c r="E60" s="30" t="n">
        <x:f>SUM('Inputs'!$E$50,'Inputs'!$E$51,'Inputs'!$E$52,'Inputs'!$E$53,'Inputs'!$E$54,'Inputs'!$E$55,'Inputs'!$E$56)</x:f>
        <x:v>300000000</x:v>
      </x:c>
      <x:c r="F60" s="32"/>
      <x:c r="G60" s="30" t="n">
        <x:f>E60+F60*'Inputs'!$E$16</x:f>
        <x:v>300000000</x:v>
      </x:c>
      <x:c r="H60" s="1"/>
      <x:c r="I60" s="1"/>
      <x:c r="J60" s="1"/>
      <x:c r="K60" s="1"/>
      <x:c r="L60" s="1"/>
      <x:c r="M60" s="1"/>
      <x:c r="N60" s="1"/>
      <x:c r="O60" s="1"/>
      <x:c r="P60" s="1"/>
    </x:row>
    <x:row r="61" ht="22" customHeight="1">
      <x:c r="A61" s="1"/>
      <x:c r="B61" s="1"/>
      <x:c r="C61" s="40" t="str">
        <x:v>Opening fit-out including contingency</x:v>
      </x:c>
      <x:c r="D61" s="40"/>
      <x:c r="E61" s="42" t="n">
        <x:f>E60*(1+'Inputs'!$E$57)</x:f>
        <x:v>345000000</x:v>
      </x:c>
      <x:c r="F61" s="42" t="n">
        <x:f>'Inputs'!$E$58</x:f>
        <x:v>15000000</x:v>
      </x:c>
      <x:c r="G61" s="42" t="n">
        <x:f>E61+F61*'Inputs'!$E$16</x:f>
        <x:v>345000000</x:v>
      </x:c>
      <x:c r="H61" s="1"/>
      <x:c r="I61" s="1"/>
      <x:c r="J61" s="1"/>
      <x:c r="K61" s="1"/>
      <x:c r="L61" s="1"/>
      <x:c r="M61" s="1"/>
      <x:c r="N61" s="1"/>
      <x:c r="O61" s="1"/>
      <x:c r="P61" s="1"/>
    </x:row>
    <x:row r="62" ht="22" customHeight="1">
      <x:c r="A62" s="1"/>
      <x:c r="B62" s="1"/>
      <x:c r="C62" s="1" t="str">
        <x:v>Prepaid operating rent</x:v>
      </x:c>
      <x:c r="D62" s="1"/>
      <x:c r="E62" s="30" t="n">
        <x:f>E40*'Inputs'!$E$12</x:f>
        <x:v>533333333.33333325</x:v>
      </x:c>
      <x:c r="F62" s="31" t="n">
        <x:f>0</x:f>
        <x:v>0</x:v>
      </x:c>
      <x:c r="G62" s="30" t="n">
        <x:f>E62+F62*'Inputs'!$E$16</x:f>
        <x:v>533333333.33333325</x:v>
      </x:c>
      <x:c r="H62" s="1"/>
      <x:c r="I62" s="1" t="str">
        <x:v>Prepaid rent is funding, not a second P&amp;L charge.</x:v>
      </x:c>
      <x:c r="J62" s="1"/>
      <x:c r="K62" s="1"/>
      <x:c r="L62" s="1"/>
      <x:c r="M62" s="1"/>
      <x:c r="N62" s="1"/>
      <x:c r="O62" s="1"/>
      <x:c r="P62" s="1"/>
    </x:row>
    <x:row r="63" ht="22" customHeight="1">
      <x:c r="A63" s="1"/>
      <x:c r="B63" s="1"/>
      <x:c r="C63" s="1" t="str">
        <x:v>Refundable deposit</x:v>
      </x:c>
      <x:c r="D63" s="1"/>
      <x:c r="E63" s="30" t="n">
        <x:f>'Inputs'!$E$13</x:f>
        <x:v>0</x:v>
      </x:c>
      <x:c r="F63" s="31" t="n">
        <x:f>0</x:f>
        <x:v>0</x:v>
      </x:c>
      <x:c r="G63" s="30" t="n">
        <x:f>E63+F63*'Inputs'!$E$16</x:f>
        <x:v>0</x:v>
      </x:c>
      <x:c r="H63" s="1"/>
      <x:c r="I63" s="1"/>
      <x:c r="J63" s="1"/>
      <x:c r="K63" s="1"/>
      <x:c r="L63" s="1"/>
      <x:c r="M63" s="1"/>
      <x:c r="N63" s="1"/>
      <x:c r="O63" s="1"/>
      <x:c r="P63" s="1"/>
    </x:row>
    <x:row r="64" ht="22" customHeight="1">
      <x:c r="A64" s="1"/>
      <x:c r="B64" s="1"/>
      <x:c r="C64" s="1" t="str">
        <x:v>Pre-opening and fit-out rent</x:v>
      </x:c>
      <x:c r="D64" s="1"/>
      <x:c r="E64" s="30" t="n">
        <x:f>'Inputs'!$E$59+'Inputs'!$E$60*E40</x:f>
        <x:v>25000000</x:v>
      </x:c>
      <x:c r="F64" s="31" t="n">
        <x:f>0</x:f>
        <x:v>0</x:v>
      </x:c>
      <x:c r="G64" s="30" t="n">
        <x:f>E64+F64*'Inputs'!$E$16</x:f>
        <x:v>25000000</x:v>
      </x:c>
      <x:c r="H64" s="1"/>
      <x:c r="I64" s="1"/>
      <x:c r="J64" s="1"/>
      <x:c r="K64" s="1"/>
      <x:c r="L64" s="1"/>
      <x:c r="M64" s="1"/>
      <x:c r="N64" s="1"/>
      <x:c r="O64" s="1"/>
      <x:c r="P64" s="1"/>
    </x:row>
    <x:row r="65" ht="22" customHeight="1">
      <x:c r="A65" s="1"/>
      <x:c r="B65" s="1"/>
      <x:c r="C65" s="1" t="str">
        <x:v>Opening stock and settlement buffer</x:v>
      </x:c>
      <x:c r="D65" s="1"/>
      <x:c r="E65" s="30" t="n">
        <x:f>'Inputs'!$E$61</x:f>
        <x:v>15000000</x:v>
      </x:c>
      <x:c r="F65" s="31" t="n">
        <x:f>0</x:f>
        <x:v>0</x:v>
      </x:c>
      <x:c r="G65" s="30" t="n">
        <x:f>E65+F65*'Inputs'!$E$16</x:f>
        <x:v>15000000</x:v>
      </x:c>
      <x:c r="H65" s="1"/>
      <x:c r="I65" s="1"/>
      <x:c r="J65" s="1"/>
      <x:c r="K65" s="1"/>
      <x:c r="L65" s="1"/>
      <x:c r="M65" s="1"/>
      <x:c r="N65" s="1"/>
      <x:c r="O65" s="1"/>
      <x:c r="P65" s="1"/>
    </x:row>
    <x:row r="66" ht="22" customHeight="1">
      <x:c r="A66" s="1"/>
      <x:c r="B66" s="1"/>
      <x:c r="C66" s="1" t="str">
        <x:v>Opening unrestricted cash reserve</x:v>
      </x:c>
      <x:c r="D66" s="1"/>
      <x:c r="E66" s="30" t="n">
        <x:f>E39*'Inputs'!$E$62</x:f>
        <x:v>197683200</x:v>
      </x:c>
      <x:c r="F66" s="30" t="n">
        <x:f>(F39+F41)*'Inputs'!$E$62</x:f>
        <x:v>41616360</x:v>
      </x:c>
      <x:c r="G66" s="30" t="n">
        <x:f>E66+F66*'Inputs'!$E$16</x:f>
        <x:v>197683200</x:v>
      </x:c>
      <x:c r="H66" s="1"/>
      <x:c r="I66" s="1"/>
      <x:c r="J66" s="1"/>
      <x:c r="K66" s="1"/>
      <x:c r="L66" s="1"/>
      <x:c r="M66" s="1"/>
      <x:c r="N66" s="1"/>
      <x:c r="O66" s="1"/>
      <x:c r="P66" s="1"/>
    </x:row>
    <x:row r="67" ht="22" customHeight="1">
      <x:c r="A67" s="1"/>
      <x:c r="B67" s="1"/>
      <x:c r="C67" s="40" t="str">
        <x:v>Total opening funding requirement</x:v>
      </x:c>
      <x:c r="D67" s="40"/>
      <x:c r="E67" s="41" t="n">
        <x:f>SUM(E61:E66)</x:f>
        <x:v>1116016533.3333333</x:v>
      </x:c>
      <x:c r="F67" s="41" t="n">
        <x:f>SUM(F61:F66)</x:f>
        <x:v>56616360</x:v>
      </x:c>
      <x:c r="G67" s="42" t="n">
        <x:f>E67+F67*'Inputs'!$E$16</x:f>
        <x:v>1116016533.3333333</x:v>
      </x:c>
      <x:c r="H67" s="1"/>
      <x:c r="I67" s="1"/>
      <x:c r="J67" s="1"/>
      <x:c r="K67" s="1"/>
      <x:c r="L67" s="1"/>
      <x:c r="M67" s="1"/>
      <x:c r="N67" s="1"/>
      <x:c r="O67" s="1"/>
      <x:c r="P67" s="1"/>
    </x:row>
    <x:row r="68" ht="22" customHeight="1">
      <x:c r="A68" s="1"/>
      <x:c r="B68" s="1"/>
      <x:c r="C68" s="1"/>
      <x:c r="D68" s="1"/>
      <x:c r="E68" s="32"/>
      <x:c r="F68" s="32"/>
      <x:c r="G68" s="32"/>
      <x:c r="H68" s="1"/>
      <x:c r="I68" s="1"/>
      <x:c r="J68" s="1"/>
      <x:c r="K68" s="1"/>
      <x:c r="L68" s="1"/>
      <x:c r="M68" s="1"/>
      <x:c r="N68" s="1"/>
      <x:c r="O68" s="1"/>
      <x:c r="P68" s="1"/>
    </x:row>
    <x:row r="69" ht="22" customHeight="1">
      <x:c r="A69" s="1"/>
      <x:c r="B69" s="1"/>
      <x:c r="C69" s="1" t="str">
        <x:v>Simple funding recovery at steady cash surplus</x:v>
      </x:c>
      <x:c r="D69" s="1" t="str">
        <x:v>months</x:v>
      </x:c>
      <x:c r="E69" s="37" t="n">
        <x:f>IF(E47&lt;=0,"n.a.",E67/E47)</x:f>
        <x:v>337.4782167941137</x:v>
      </x:c>
      <x:c r="F69" s="37" t="n">
        <x:f>IF(F47&lt;=0,"n.a.",F67/F47)</x:f>
        <x:v>26.130837031376974</x:v>
      </x:c>
      <x:c r="G69" s="37" t="n">
        <x:f>IF(G47&lt;=0,"n.a.",G67/G47)</x:f>
        <x:v>337.4782167941137</x:v>
      </x:c>
      <x:c r="H69" s="1"/>
      <x:c r="I69" s="1" t="str">
        <x:v>Gross funding / steady monthly cash surplus.</x:v>
      </x:c>
      <x:c r="J69" s="1"/>
      <x:c r="K69" s="1"/>
      <x:c r="L69" s="1"/>
      <x:c r="M69" s="1"/>
      <x:c r="N69" s="1"/>
      <x:c r="O69" s="1"/>
      <x:c r="P69" s="1"/>
    </x:row>
    <x:row r="70" ht="22" customHeight="1">
      <x:c r="A70" s="1"/>
      <x:c r="B70" s="1"/>
      <x:c r="C70" s="1" t="str">
        <x:v>Maximum quoted rent at illustrative profit target</x:v>
      </x:c>
      <x:c r="D70" s="1"/>
      <x:c r="E70" s="30" t="n">
        <x:f>(E27-E39-('Inputs'!$E$63+E46)/(1-'Inputs'!$E$45))/(1+'Inputs'!$E$11)*IF('Inputs'!$E$9=1,1-'Inputs'!$E$10,1)</x:f>
        <x:v>14969533.568720056</x:v>
      </x:c>
      <x:c r="F70" s="32"/>
      <x:c r="G70" s="32"/>
      <x:c r="H70" s="1"/>
      <x:c r="I70" s="1"/>
      <x:c r="J70" s="1"/>
      <x:c r="K70" s="1"/>
      <x:c r="L70" s="1"/>
      <x:c r="M70" s="1"/>
      <x:c r="N70" s="1"/>
      <x:c r="O70" s="1"/>
      <x:c r="P70" s="1"/>
    </x:row>
    <x:row r="71" ht="22" customHeight="1">
      <x:c r="A71" s="1"/>
      <x:c r="B71" s="1"/>
      <x:c r="C71" s="1" t="str">
        <x:v>Required non-delivery street orders/day</x:v>
      </x:c>
      <x:c r="D71" s="1" t="str">
        <x:v>orders/day</x:v>
      </x:c>
      <x:c r="E71" s="31" t="n">
        <x:f>E49*(E8+E9)/E11</x:f>
        <x:v>60.69465859857058</x:v>
      </x:c>
      <x:c r="F71" s="32"/>
      <x:c r="G71" s="32"/>
      <x:c r="H71" s="1"/>
      <x:c r="I71" s="1"/>
      <x:c r="J71" s="1"/>
      <x:c r="K71" s="1"/>
      <x:c r="L71" s="1"/>
      <x:c r="M71" s="1"/>
      <x:c r="N71" s="1"/>
      <x:c r="O71" s="1"/>
      <x:c r="P71" s="1"/>
    </x:row>
    <x:row r="72" ht="22" customHeight="1">
      <x:c r="A72" s="1"/>
      <x:c r="B72" s="1"/>
      <x:c r="C72" s="1" t="str">
        <x:v>Eligible passers/day at assumed capture rate</x:v>
      </x:c>
      <x:c r="D72" s="1" t="str">
        <x:v>orders/day</x:v>
      </x:c>
      <x:c r="E72" s="30" t="n">
        <x:f>E71/'Inputs'!$E$68</x:f>
        <x:v>1213.8931719714114</x:v>
      </x:c>
      <x:c r="F72" s="32"/>
      <x:c r="G72" s="32"/>
      <x:c r="H72" s="1"/>
      <x:c r="I72" s="1"/>
      <x:c r="J72" s="1"/>
      <x:c r="K72" s="1"/>
      <x:c r="L72" s="1"/>
      <x:c r="M72" s="1"/>
      <x:c r="N72" s="1"/>
      <x:c r="O72" s="1"/>
      <x:c r="P72" s="1"/>
    </x:row>
    <x:row r="73" ht="22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</x:row>
    <x:row r="74" ht="22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</x:row>
    <x:row r="75" ht="34" customHeight="1">
      <x:c r="A75" s="1"/>
      <x:c r="B75" s="1"/>
      <x:c r="C75" s="26" t="str">
        <x:v>Operating break-even, before income tax/reserve</x:v>
      </x:c>
      <x:c r="D75" s="1"/>
      <x:c r="E75" s="43" t="n">
        <x:f>IF(E29&lt;=0,"n.a.",E42/E29/'Inputs'!$E$14)</x:f>
        <x:v>71.42563579166774</x:v>
      </x:c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</x:row>
    <x:row r="76" ht="34" customHeight="1">
      <x:c r="A76" s="1"/>
      <x:c r="B76" s="1"/>
      <x:c r="C76" s="26" t="str">
        <x:v>Average customer menu total before discounts</x:v>
      </x:c>
      <x:c r="D76" s="1"/>
      <x:c r="E76" s="23" t="n">
        <x:f>IF(E11=0,"n.a.",(E14+E15+E16)*(1+'Inputs'!$E$17)/E11)</x:f>
        <x:v>109128.1</x:v>
      </x:c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</x:row>
    <x:row r="77" ht="34" customHeight="1">
      <x:c r="A77" s="1"/>
      <x:c r="B77" s="1"/>
      <x:c r="C77" s="26" t="str">
        <x:v>Direct takeaway contribution / transaction</x:v>
      </x:c>
      <x:c r="D77" s="1"/>
      <x:c r="E77" s="23" t="n">
        <x:f>'Baskets'!N67</x:f>
        <x:v>51862.77846225412</x:v>
      </x:c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</x:row>
    <x:row r="78" ht="34" customHeight="1">
      <x:c r="A78" s="1"/>
      <x:c r="B78" s="1"/>
      <x:c r="C78" s="26" t="str">
        <x:v>Delivery contribution / transaction</x:v>
      </x:c>
      <x:c r="D78" s="1"/>
      <x:c r="E78" s="23" t="n">
        <x:f>'Baskets'!N68</x:f>
        <x:v>44235.994766746386</x:v>
      </x:c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</x:row>
    <x:row r="79" ht="34" customHeight="1">
      <x:c r="A79" s="1"/>
      <x:c r="B79" s="1"/>
      <x:c r="C79" s="26" t="str">
        <x:v>Paid transactions needed per day: 20% contribution buffer</x:v>
      </x:c>
      <x:c r="D79" s="1"/>
      <x:c r="E79" s="43" t="n">
        <x:f>IF(E29&lt;=0,"n.a.",E42*1.2/E29/'Inputs'!$E$14)</x:f>
        <x:v>85.7107629500013</x:v>
      </x:c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</x:row>
    <x:row r="80" ht="22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</x:row>
    <x:row r="81" ht="22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</x:row>
    <x:row r="82" ht="22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</x:row>
    <x:row r="83" ht="22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</x:row>
    <x:row r="84" ht="22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</x:row>
    <x:row r="85" ht="22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</x:row>
    <x:row r="86" ht="22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</x:row>
    <x:row r="87" ht="22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</x:row>
    <x:row r="88" ht="22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</x:row>
    <x:row r="89" ht="22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</x:row>
    <x:row r="90" ht="22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</x:row>
    <x:row r="91" ht="22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</x:row>
    <x:row r="92" ht="22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</x:row>
    <x:row r="93" ht="22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</x:row>
    <x:row r="94" ht="22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</x:row>
    <x:row r="95" ht="22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</x:row>
    <x:row r="96" ht="22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</x:row>
    <x:row r="97" ht="22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</x:row>
    <x:row r="98" ht="22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</x:row>
    <x:row r="99" ht="22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</x:row>
    <x:row r="100" ht="22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</x:row>
    <x:row r="101" ht="22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</x:row>
    <x:row r="102" ht="22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</x:row>
    <x:row r="103" ht="22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</x:row>
    <x:row r="104" ht="22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</x:row>
    <x:row r="105" ht="22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</x:row>
    <x:row r="106" ht="22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</x:row>
    <x:row r="107" ht="22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</x:row>
    <x:row r="108" ht="22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</x:row>
    <x:row r="109" ht="22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</x:row>
    <x:row r="110" ht="22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</x:row>
    <x:row r="111" ht="22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</x:row>
    <x:row r="112" ht="22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</x:row>
    <x:row r="113" ht="22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</x:row>
    <x:row r="114" ht="22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</x:row>
    <x:row r="115" ht="22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</x:row>
    <x:row r="116" ht="22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</x:row>
    <x:row r="117" ht="22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</x:row>
    <x:row r="118" ht="22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</x:row>
    <x:row r="119" ht="22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</x:row>
    <x:row r="120" ht="22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</x:row>
    <x:row r="121" ht="22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</x:row>
    <x:row r="122" ht="22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</x:row>
    <x:row r="123" ht="22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</x:row>
    <x:row r="124" ht="22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</x:row>
    <x:row r="125" ht="22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</x:row>
    <x:row r="126" ht="22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</x:row>
    <x:row r="127" ht="22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</x:row>
    <x:row r="128" ht="22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</x:row>
    <x:row r="129" ht="22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</x:row>
    <x:row r="130" ht="22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</x:row>
    <x:row r="131" ht="22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</x:row>
    <x:row r="132" ht="22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</x:row>
    <x:row r="133" ht="22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</x:row>
    <x:row r="134" ht="22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</x:row>
    <x:row r="135" ht="22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</x:row>
    <x:row r="136" ht="22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</x:row>
    <x:row r="137" ht="22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</x:row>
    <x:row r="138" ht="22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</x:row>
    <x:row r="139" ht="22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</x:row>
    <x:row r="140" ht="22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</x:row>
    <x:row r="141" ht="22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</x:row>
    <x:row r="142" ht="22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</x:row>
    <x:row r="143" ht="22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</x:row>
    <x:row r="144" ht="22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</x:row>
    <x:row r="145" ht="22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</x:row>
    <x:row r="146" ht="22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</x:row>
    <x:row r="147" ht="22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</x:row>
    <x:row r="148" ht="22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</x:row>
    <x:row r="149" ht="22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</x:row>
    <x:row r="150" ht="22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</x:row>
    <x:row r="151" ht="22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</x:row>
    <x:row r="152" ht="22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</x:row>
    <x:row r="153" ht="22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</x:row>
    <x:row r="154" ht="22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</x:row>
    <x:row r="155" ht="22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</x:row>
    <x:row r="156" ht="22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</x:row>
    <x:row r="157" ht="22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</x:row>
    <x:row r="158" ht="22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</x:row>
    <x:row r="159" ht="22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</x:row>
    <x:row r="160" ht="22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</x:row>
    <x:row r="161" ht="22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</x:row>
    <x:row r="162" ht="22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</x:row>
    <x:row r="163" ht="22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</x:row>
    <x:row r="164" ht="22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</x:row>
    <x:row r="165" ht="22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</x:row>
    <x:row r="166" ht="22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</x:row>
    <x:row r="167" ht="22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</x:row>
    <x:row r="168" ht="22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</x:row>
    <x:row r="169" ht="22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</x:row>
    <x:row r="170" ht="22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</x:row>
    <x:row r="171" ht="22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</x:row>
    <x:row r="172" ht="22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</x:row>
    <x:row r="173" ht="22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</x:row>
    <x:row r="174" ht="22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</x:row>
    <x:row r="175" ht="22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</x:row>
    <x:row r="176" ht="22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</x:row>
    <x:row r="177" ht="22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</x:row>
    <x:row r="178" ht="22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</x:row>
    <x:row r="179" ht="22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</x:row>
    <x:row r="180" ht="22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</x:row>
    <x:row r="181" ht="22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</x:row>
    <x:row r="182" ht="22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</x:row>
    <x:row r="183" ht="22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</x:row>
    <x:row r="184" ht="22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</x:row>
    <x:row r="185" ht="22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</x:row>
    <x:row r="186" ht="22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</x:row>
    <x:row r="187" ht="22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</x:row>
    <x:row r="188" ht="22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</x:row>
    <x:row r="189" ht="22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</x:row>
    <x:row r="190" ht="22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</x:row>
  </x:sheetData>
  <x:conditionalFormatting sqref="E8:G72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2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2" customHeight="1">
      <x:c r="A2" s="1"/>
      <x:c r="B2" s="1"/>
      <x:c r="C2" s="2" t="str">
        <x:v>Maya Berawa · Cash flow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2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2" customHeight="1">
      <x:c r="A4" s="1"/>
      <x:c r="B4" s="1"/>
      <x:c r="C4" s="1" t="str">
        <x:v>Case selected</x:v>
      </x:c>
      <x:c r="D4" s="1"/>
      <x:c r="E4" s="5" t="str">
        <x:f>'Inputs'!G4</x:f>
        <x:v>Base</x:v>
      </x:c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22" customHeight="1">
      <x:c r="A6" s="1"/>
      <x:c r="B6" s="1"/>
      <x:c r="C6" s="1"/>
      <x:c r="D6" s="13" t="str">
        <x:v>First 12 months</x:v>
      </x:c>
      <x:c r="E6" s="13" t="n">
        <x:v>1</x:v>
      </x:c>
      <x:c r="F6" s="13" t="n">
        <x:v>2</x:v>
      </x:c>
      <x:c r="G6" s="13" t="n">
        <x:v>3</x:v>
      </x:c>
      <x:c r="H6" s="13" t="n">
        <x:v>4</x:v>
      </x:c>
      <x:c r="I6" s="13" t="n">
        <x:v>5</x:v>
      </x:c>
      <x:c r="J6" s="13" t="n">
        <x:v>6</x:v>
      </x:c>
      <x:c r="K6" s="13" t="n">
        <x:v>7</x:v>
      </x:c>
      <x:c r="L6" s="13" t="n">
        <x:v>8</x:v>
      </x:c>
      <x:c r="M6" s="13" t="n">
        <x:v>9</x:v>
      </x:c>
      <x:c r="N6" s="13" t="n">
        <x:v>10</x:v>
      </x:c>
      <x:c r="O6" s="13" t="n">
        <x:v>11</x:v>
      </x:c>
      <x:c r="P6" s="13" t="n">
        <x:v>12</x:v>
      </x:c>
    </x:row>
    <x:row r="7" ht="22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22" customHeight="1">
      <x:c r="A8" s="1"/>
      <x:c r="B8" s="1"/>
      <x:c r="C8" s="1" t="str">
        <x:v>Fraction of steady orders</x:v>
      </x:c>
      <x:c r="D8" s="1"/>
      <x:c r="E8" s="18" t="n">
        <x:f>'Launch'!E9</x:f>
        <x:v>0.45</x:v>
      </x:c>
      <x:c r="F8" s="18" t="n">
        <x:f>'Launch'!F9</x:f>
        <x:v>0.6</x:v>
      </x:c>
      <x:c r="G8" s="18" t="n">
        <x:f>'Launch'!G9</x:f>
        <x:v>0.75</x:v>
      </x:c>
      <x:c r="H8" s="18" t="n">
        <x:f>'Launch'!H9</x:f>
        <x:v>0.85</x:v>
      </x:c>
      <x:c r="I8" s="18" t="n">
        <x:f>'Launch'!I9</x:f>
        <x:v>0.95</x:v>
      </x:c>
      <x:c r="J8" s="18" t="n">
        <x:f>'Launch'!J9</x:f>
        <x:v>1</x:v>
      </x:c>
      <x:c r="K8" s="18" t="n">
        <x:f>'Launch'!K9</x:f>
        <x:v>1</x:v>
      </x:c>
      <x:c r="L8" s="18" t="n">
        <x:f>'Launch'!L9</x:f>
        <x:v>1</x:v>
      </x:c>
      <x:c r="M8" s="18" t="n">
        <x:f>'Launch'!M9</x:f>
        <x:v>1</x:v>
      </x:c>
      <x:c r="N8" s="18" t="n">
        <x:f>'Launch'!N9</x:f>
        <x:v>1</x:v>
      </x:c>
      <x:c r="O8" s="18" t="n">
        <x:f>'Launch'!O9</x:f>
        <x:v>1</x:v>
      </x:c>
      <x:c r="P8" s="18" t="n">
        <x:f>'Launch'!P9</x:f>
        <x:v>1</x:v>
      </x:c>
    </x:row>
    <x:row r="9" ht="22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 ht="22" customHeight="1">
      <x:c r="A10" s="1"/>
      <x:c r="B10" s="1"/>
      <x:c r="C10" s="1" t="str">
        <x:v>Day contribution</x:v>
      </x:c>
      <x:c r="D10" s="1"/>
      <x:c r="E10" s="44" t="n">
        <x:f>'Operations'!$E$27*E8</x:f>
        <x:v>52137246.78436003</x:v>
      </x:c>
      <x:c r="F10" s="44" t="n">
        <x:f>'Operations'!$E$27*F8</x:f>
        <x:v>69516329.04581337</x:v>
      </x:c>
      <x:c r="G10" s="44" t="n">
        <x:f>'Operations'!$E$27*G8</x:f>
        <x:v>86895411.30726671</x:v>
      </x:c>
      <x:c r="H10" s="44" t="n">
        <x:f>'Operations'!$E$27*H8</x:f>
        <x:v>98481466.1482356</x:v>
      </x:c>
      <x:c r="I10" s="44" t="n">
        <x:f>'Operations'!$E$27*I8</x:f>
        <x:v>110067520.9892045</x:v>
      </x:c>
      <x:c r="J10" s="44" t="n">
        <x:f>'Operations'!$E$27*J8</x:f>
        <x:v>115860548.40968895</x:v>
      </x:c>
      <x:c r="K10" s="44" t="n">
        <x:f>'Operations'!$E$27*K8</x:f>
        <x:v>115860548.40968895</x:v>
      </x:c>
      <x:c r="L10" s="44" t="n">
        <x:f>'Operations'!$E$27*L8</x:f>
        <x:v>115860548.40968895</x:v>
      </x:c>
      <x:c r="M10" s="44" t="n">
        <x:f>'Operations'!$E$27*M8</x:f>
        <x:v>115860548.40968895</x:v>
      </x:c>
      <x:c r="N10" s="44" t="n">
        <x:f>'Operations'!$E$27*N8</x:f>
        <x:v>115860548.40968895</x:v>
      </x:c>
      <x:c r="O10" s="44" t="n">
        <x:f>'Operations'!$E$27*O8</x:f>
        <x:v>115860548.40968895</x:v>
      </x:c>
      <x:c r="P10" s="44" t="n">
        <x:f>'Operations'!$E$27*P8</x:f>
        <x:v>115860548.40968895</x:v>
      </x:c>
    </x:row>
    <x:row r="11" ht="22" customHeight="1">
      <x:c r="A11" s="1"/>
      <x:c r="B11" s="1"/>
      <x:c r="C11" s="1" t="str">
        <x:v>Day fixed costs</x:v>
      </x:c>
      <x:c r="D11" s="1"/>
      <x:c r="E11" s="44" t="n">
        <x:f>'Operations'!$E$42</x:f>
        <x:v>110338844.44444445</x:v>
      </x:c>
      <x:c r="F11" s="44" t="n">
        <x:f>'Operations'!$E$42</x:f>
        <x:v>110338844.44444445</x:v>
      </x:c>
      <x:c r="G11" s="44" t="n">
        <x:f>'Operations'!$E$42</x:f>
        <x:v>110338844.44444445</x:v>
      </x:c>
      <x:c r="H11" s="44" t="n">
        <x:f>'Operations'!$E$42</x:f>
        <x:v>110338844.44444445</x:v>
      </x:c>
      <x:c r="I11" s="44" t="n">
        <x:f>'Operations'!$E$42</x:f>
        <x:v>110338844.44444445</x:v>
      </x:c>
      <x:c r="J11" s="44" t="n">
        <x:f>'Operations'!$E$42</x:f>
        <x:v>110338844.44444445</x:v>
      </x:c>
      <x:c r="K11" s="44" t="n">
        <x:f>'Operations'!$E$42</x:f>
        <x:v>110338844.44444445</x:v>
      </x:c>
      <x:c r="L11" s="44" t="n">
        <x:f>'Operations'!$E$42</x:f>
        <x:v>110338844.44444445</x:v>
      </x:c>
      <x:c r="M11" s="44" t="n">
        <x:f>'Operations'!$E$42</x:f>
        <x:v>110338844.44444445</x:v>
      </x:c>
      <x:c r="N11" s="44" t="n">
        <x:f>'Operations'!$E$42</x:f>
        <x:v>110338844.44444445</x:v>
      </x:c>
      <x:c r="O11" s="44" t="n">
        <x:f>'Operations'!$E$42</x:f>
        <x:v>110338844.44444445</x:v>
      </x:c>
      <x:c r="P11" s="44" t="n">
        <x:f>'Operations'!$E$42</x:f>
        <x:v>110338844.44444445</x:v>
      </x:c>
    </x:row>
    <x:row r="12" ht="22" customHeight="1">
      <x:c r="A12" s="1"/>
      <x:c r="B12" s="1"/>
      <x:c r="C12" s="1" t="str">
        <x:v>Night contribution if enabled</x:v>
      </x:c>
      <x:c r="D12" s="1"/>
      <x:c r="E12" s="44" t="n">
        <x:f>'Operations'!$F$27*E8*'Inputs'!$E$16</x:f>
        <x:v>0</x:v>
      </x:c>
      <x:c r="F12" s="44" t="n">
        <x:f>'Operations'!$F$27*F8*'Inputs'!$E$16</x:f>
        <x:v>0</x:v>
      </x:c>
      <x:c r="G12" s="44" t="n">
        <x:f>'Operations'!$F$27*G8*'Inputs'!$E$16</x:f>
        <x:v>0</x:v>
      </x:c>
      <x:c r="H12" s="44" t="n">
        <x:f>'Operations'!$F$27*H8*'Inputs'!$E$16</x:f>
        <x:v>0</x:v>
      </x:c>
      <x:c r="I12" s="44" t="n">
        <x:f>'Operations'!$F$27*I8*'Inputs'!$E$16</x:f>
        <x:v>0</x:v>
      </x:c>
      <x:c r="J12" s="44" t="n">
        <x:f>'Operations'!$F$27*J8*'Inputs'!$E$16</x:f>
        <x:v>0</x:v>
      </x:c>
      <x:c r="K12" s="44" t="n">
        <x:f>'Operations'!$F$27*K8*'Inputs'!$E$16</x:f>
        <x:v>0</x:v>
      </x:c>
      <x:c r="L12" s="44" t="n">
        <x:f>'Operations'!$F$27*L8*'Inputs'!$E$16</x:f>
        <x:v>0</x:v>
      </x:c>
      <x:c r="M12" s="44" t="n">
        <x:f>'Operations'!$F$27*M8*'Inputs'!$E$16</x:f>
        <x:v>0</x:v>
      </x:c>
      <x:c r="N12" s="44" t="n">
        <x:f>'Operations'!$F$27*N8*'Inputs'!$E$16</x:f>
        <x:v>0</x:v>
      </x:c>
      <x:c r="O12" s="44" t="n">
        <x:f>'Operations'!$F$27*O8*'Inputs'!$E$16</x:f>
        <x:v>0</x:v>
      </x:c>
      <x:c r="P12" s="44" t="n">
        <x:f>'Operations'!$F$27*P8*'Inputs'!$E$16</x:f>
        <x:v>0</x:v>
      </x:c>
    </x:row>
    <x:row r="13" ht="22" customHeight="1">
      <x:c r="A13" s="1"/>
      <x:c r="B13" s="1"/>
      <x:c r="C13" s="1" t="str">
        <x:v>Night fixed costs if enabled</x:v>
      </x:c>
      <x:c r="D13" s="1"/>
      <x:c r="E13" s="44" t="n">
        <x:f>'Operations'!$F$42*'Inputs'!$E$16</x:f>
        <x:v>0</x:v>
      </x:c>
      <x:c r="F13" s="44" t="n">
        <x:f>'Operations'!$F$42*'Inputs'!$E$16</x:f>
        <x:v>0</x:v>
      </x:c>
      <x:c r="G13" s="44" t="n">
        <x:f>'Operations'!$F$42*'Inputs'!$E$16</x:f>
        <x:v>0</x:v>
      </x:c>
      <x:c r="H13" s="44" t="n">
        <x:f>'Operations'!$F$42*'Inputs'!$E$16</x:f>
        <x:v>0</x:v>
      </x:c>
      <x:c r="I13" s="44" t="n">
        <x:f>'Operations'!$F$42*'Inputs'!$E$16</x:f>
        <x:v>0</x:v>
      </x:c>
      <x:c r="J13" s="44" t="n">
        <x:f>'Operations'!$F$42*'Inputs'!$E$16</x:f>
        <x:v>0</x:v>
      </x:c>
      <x:c r="K13" s="44" t="n">
        <x:f>'Operations'!$F$42*'Inputs'!$E$16</x:f>
        <x:v>0</x:v>
      </x:c>
      <x:c r="L13" s="44" t="n">
        <x:f>'Operations'!$F$42*'Inputs'!$E$16</x:f>
        <x:v>0</x:v>
      </x:c>
      <x:c r="M13" s="44" t="n">
        <x:f>'Operations'!$F$42*'Inputs'!$E$16</x:f>
        <x:v>0</x:v>
      </x:c>
      <x:c r="N13" s="44" t="n">
        <x:f>'Operations'!$F$42*'Inputs'!$E$16</x:f>
        <x:v>0</x:v>
      </x:c>
      <x:c r="O13" s="44" t="n">
        <x:f>'Operations'!$F$42*'Inputs'!$E$16</x:f>
        <x:v>0</x:v>
      </x:c>
      <x:c r="P13" s="44" t="n">
        <x:f>'Operations'!$F$42*'Inputs'!$E$16</x:f>
        <x:v>0</x:v>
      </x:c>
    </x:row>
    <x:row r="14" ht="22" customHeight="1">
      <x:c r="A14" s="1"/>
      <x:c r="B14" s="1"/>
      <x:c r="C14" s="40" t="str">
        <x:v>Operating surplus</x:v>
      </x:c>
      <x:c r="D14" s="40"/>
      <x:c r="E14" s="48" t="n">
        <x:f>E10-E11+E12-E13</x:f>
        <x:v>-58201597.66008442</x:v>
      </x:c>
      <x:c r="F14" s="48" t="n">
        <x:f>F10-F11+F12-F13</x:f>
        <x:v>-40822515.39863108</x:v>
      </x:c>
      <x:c r="G14" s="48" t="n">
        <x:f>G10-G11+G12-G13</x:f>
        <x:v>-23443433.137177736</x:v>
      </x:c>
      <x:c r="H14" s="48" t="n">
        <x:f>H10-H11+H12-H13</x:f>
        <x:v>-11857378.296208844</x:v>
      </x:c>
      <x:c r="I14" s="48" t="n">
        <x:f>I10-I11+I12-I13</x:f>
        <x:v>-271323.4552399516</x:v>
      </x:c>
      <x:c r="J14" s="48" t="n">
        <x:f>J10-J11+J12-J13</x:f>
        <x:v>5521703.965244502</x:v>
      </x:c>
      <x:c r="K14" s="48" t="n">
        <x:f>K10-K11+K12-K13</x:f>
        <x:v>5521703.965244502</x:v>
      </x:c>
      <x:c r="L14" s="48" t="n">
        <x:f>L10-L11+L12-L13</x:f>
        <x:v>5521703.965244502</x:v>
      </x:c>
      <x:c r="M14" s="48" t="n">
        <x:f>M10-M11+M12-M13</x:f>
        <x:v>5521703.965244502</x:v>
      </x:c>
      <x:c r="N14" s="48" t="n">
        <x:f>N10-N11+N12-N13</x:f>
        <x:v>5521703.965244502</x:v>
      </x:c>
      <x:c r="O14" s="48" t="n">
        <x:f>O10-O11+O12-O13</x:f>
        <x:v>5521703.965244502</x:v>
      </x:c>
      <x:c r="P14" s="48" t="n">
        <x:f>P10-P11+P12-P13</x:f>
        <x:v>5521703.965244502</x:v>
      </x:c>
    </x:row>
    <x:row r="15" ht="22" customHeight="1">
      <x:c r="A15" s="1"/>
      <x:c r="B15" s="1"/>
      <x:c r="C15" s="1" t="str">
        <x:v>Income-tax cash provision</x:v>
      </x:c>
      <x:c r="D15" s="1"/>
      <x:c r="E15" s="44" t="n">
        <x:f>MAX(0,E14)*'Inputs'!$E$45</x:f>
        <x:v>0</x:v>
      </x:c>
      <x:c r="F15" s="44" t="n">
        <x:f>MAX(0,F14)*'Inputs'!$E$45</x:f>
        <x:v>0</x:v>
      </x:c>
      <x:c r="G15" s="44" t="n">
        <x:f>MAX(0,G14)*'Inputs'!$E$45</x:f>
        <x:v>0</x:v>
      </x:c>
      <x:c r="H15" s="44" t="n">
        <x:f>MAX(0,H14)*'Inputs'!$E$45</x:f>
        <x:v>0</x:v>
      </x:c>
      <x:c r="I15" s="44" t="n">
        <x:f>MAX(0,I14)*'Inputs'!$E$45</x:f>
        <x:v>0</x:v>
      </x:c>
      <x:c r="J15" s="44" t="n">
        <x:f>MAX(0,J14)*'Inputs'!$E$45</x:f>
        <x:v>1214774.8723537903</x:v>
      </x:c>
      <x:c r="K15" s="44" t="n">
        <x:f>MAX(0,K14)*'Inputs'!$E$45</x:f>
        <x:v>1214774.8723537903</x:v>
      </x:c>
      <x:c r="L15" s="44" t="n">
        <x:f>MAX(0,L14)*'Inputs'!$E$45</x:f>
        <x:v>1214774.8723537903</x:v>
      </x:c>
      <x:c r="M15" s="44" t="n">
        <x:f>MAX(0,M14)*'Inputs'!$E$45</x:f>
        <x:v>1214774.8723537903</x:v>
      </x:c>
      <x:c r="N15" s="44" t="n">
        <x:f>MAX(0,N14)*'Inputs'!$E$45</x:f>
        <x:v>1214774.8723537903</x:v>
      </x:c>
      <x:c r="O15" s="44" t="n">
        <x:f>MAX(0,O14)*'Inputs'!$E$45</x:f>
        <x:v>1214774.8723537903</x:v>
      </x:c>
      <x:c r="P15" s="44" t="n">
        <x:f>MAX(0,P14)*'Inputs'!$E$45</x:f>
        <x:v>1214774.8723537903</x:v>
      </x:c>
    </x:row>
    <x:row r="16" ht="22" customHeight="1">
      <x:c r="A16" s="1"/>
      <x:c r="B16" s="1"/>
      <x:c r="C16" s="1" t="str">
        <x:v>Replacement reserve</x:v>
      </x:c>
      <x:c r="D16" s="1"/>
      <x:c r="E16" s="44" t="n">
        <x:f>'Operations'!$G$46</x:f>
        <x:v>1000000</x:v>
      </x:c>
      <x:c r="F16" s="44" t="n">
        <x:f>'Operations'!$G$46</x:f>
        <x:v>1000000</x:v>
      </x:c>
      <x:c r="G16" s="44" t="n">
        <x:f>'Operations'!$G$46</x:f>
        <x:v>1000000</x:v>
      </x:c>
      <x:c r="H16" s="44" t="n">
        <x:f>'Operations'!$G$46</x:f>
        <x:v>1000000</x:v>
      </x:c>
      <x:c r="I16" s="44" t="n">
        <x:f>'Operations'!$G$46</x:f>
        <x:v>1000000</x:v>
      </x:c>
      <x:c r="J16" s="44" t="n">
        <x:f>'Operations'!$G$46</x:f>
        <x:v>1000000</x:v>
      </x:c>
      <x:c r="K16" s="44" t="n">
        <x:f>'Operations'!$G$46</x:f>
        <x:v>1000000</x:v>
      </x:c>
      <x:c r="L16" s="44" t="n">
        <x:f>'Operations'!$G$46</x:f>
        <x:v>1000000</x:v>
      </x:c>
      <x:c r="M16" s="44" t="n">
        <x:f>'Operations'!$G$46</x:f>
        <x:v>1000000</x:v>
      </x:c>
      <x:c r="N16" s="44" t="n">
        <x:f>'Operations'!$G$46</x:f>
        <x:v>1000000</x:v>
      </x:c>
      <x:c r="O16" s="44" t="n">
        <x:f>'Operations'!$G$46</x:f>
        <x:v>1000000</x:v>
      </x:c>
      <x:c r="P16" s="44" t="n">
        <x:f>'Operations'!$G$46</x:f>
        <x:v>1000000</x:v>
      </x:c>
    </x:row>
    <x:row r="17" ht="22" customHeight="1">
      <x:c r="A17" s="1"/>
      <x:c r="B17" s="1"/>
      <x:c r="C17" s="40" t="str">
        <x:v>Economic cash surplus</x:v>
      </x:c>
      <x:c r="D17" s="40"/>
      <x:c r="E17" s="48" t="n">
        <x:f>E14-E15-E16</x:f>
        <x:v>-59201597.66008442</x:v>
      </x:c>
      <x:c r="F17" s="48" t="n">
        <x:f>F14-F15-F16</x:f>
        <x:v>-41822515.39863108</x:v>
      </x:c>
      <x:c r="G17" s="48" t="n">
        <x:f>G14-G15-G16</x:f>
        <x:v>-24443433.137177736</x:v>
      </x:c>
      <x:c r="H17" s="48" t="n">
        <x:f>H14-H15-H16</x:f>
        <x:v>-12857378.296208844</x:v>
      </x:c>
      <x:c r="I17" s="48" t="n">
        <x:f>I14-I15-I16</x:f>
        <x:v>-1271323.4552399516</x:v>
      </x:c>
      <x:c r="J17" s="48" t="n">
        <x:f>J14-J15-J16</x:f>
        <x:v>3306929.0928907115</x:v>
      </x:c>
      <x:c r="K17" s="48" t="n">
        <x:f>K14-K15-K16</x:f>
        <x:v>3306929.0928907115</x:v>
      </x:c>
      <x:c r="L17" s="48" t="n">
        <x:f>L14-L15-L16</x:f>
        <x:v>3306929.0928907115</x:v>
      </x:c>
      <x:c r="M17" s="48" t="n">
        <x:f>M14-M15-M16</x:f>
        <x:v>3306929.0928907115</x:v>
      </x:c>
      <x:c r="N17" s="48" t="n">
        <x:f>N14-N15-N16</x:f>
        <x:v>3306929.0928907115</x:v>
      </x:c>
      <x:c r="O17" s="48" t="n">
        <x:f>O14-O15-O16</x:f>
        <x:v>3306929.0928907115</x:v>
      </x:c>
      <x:c r="P17" s="48" t="n">
        <x:f>P14-P15-P16</x:f>
        <x:v>3306929.0928907115</x:v>
      </x:c>
    </x:row>
    <x:row r="18" ht="22" customHeight="1">
      <x:c r="A18" s="1"/>
      <x:c r="B18" s="1"/>
      <x:c r="C18" s="1"/>
      <x:c r="D18" s="1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</x:row>
    <x:row r="19" ht="22" customHeight="1">
      <x:c r="A19" s="1"/>
      <x:c r="B19" s="1"/>
      <x:c r="C19" s="1" t="str">
        <x:v>Prepaid rent expense added back</x:v>
      </x:c>
      <x:c r="D19" s="1"/>
      <x:c r="E19" s="44" t="n">
        <x:f>'Operations'!$E$40</x:f>
        <x:v>44444444.44444444</x:v>
      </x:c>
      <x:c r="F19" s="44" t="n">
        <x:f>'Operations'!$E$40</x:f>
        <x:v>44444444.44444444</x:v>
      </x:c>
      <x:c r="G19" s="44" t="n">
        <x:f>'Operations'!$E$40</x:f>
        <x:v>44444444.44444444</x:v>
      </x:c>
      <x:c r="H19" s="44" t="n">
        <x:f>'Operations'!$E$40</x:f>
        <x:v>44444444.44444444</x:v>
      </x:c>
      <x:c r="I19" s="44" t="n">
        <x:f>'Operations'!$E$40</x:f>
        <x:v>44444444.44444444</x:v>
      </x:c>
      <x:c r="J19" s="44" t="n">
        <x:f>'Operations'!$E$40</x:f>
        <x:v>44444444.44444444</x:v>
      </x:c>
      <x:c r="K19" s="44" t="n">
        <x:f>'Operations'!$E$40</x:f>
        <x:v>44444444.44444444</x:v>
      </x:c>
      <x:c r="L19" s="44" t="n">
        <x:f>'Operations'!$E$40</x:f>
        <x:v>44444444.44444444</x:v>
      </x:c>
      <x:c r="M19" s="44" t="n">
        <x:f>'Operations'!$E$40</x:f>
        <x:v>44444444.44444444</x:v>
      </x:c>
      <x:c r="N19" s="44" t="n">
        <x:f>'Operations'!$E$40</x:f>
        <x:v>44444444.44444444</x:v>
      </x:c>
      <x:c r="O19" s="44" t="n">
        <x:f>'Operations'!$E$40</x:f>
        <x:v>44444444.44444444</x:v>
      </x:c>
      <x:c r="P19" s="44" t="n">
        <x:f>'Operations'!$E$40</x:f>
        <x:v>44444444.44444444</x:v>
      </x:c>
    </x:row>
    <x:row r="20" ht="22" customHeight="1">
      <x:c r="A20" s="1"/>
      <x:c r="B20" s="1"/>
      <x:c r="C20" s="1" t="str">
        <x:v>Actual cash generated before renewal reserve</x:v>
      </x:c>
      <x:c r="D20" s="1"/>
      <x:c r="E20" s="45" t="n">
        <x:f>E17+E19</x:f>
        <x:v>-14757153.215639979</x:v>
      </x:c>
      <x:c r="F20" s="45" t="n">
        <x:f>F17+F19</x:f>
        <x:v>2621929.0458133593</x:v>
      </x:c>
      <x:c r="G20" s="45" t="n">
        <x:f>G17+G19</x:f>
        <x:v>20001011.307266705</x:v>
      </x:c>
      <x:c r="H20" s="45" t="n">
        <x:f>H17+H19</x:f>
        <x:v>31587066.148235597</x:v>
      </x:c>
      <x:c r="I20" s="45" t="n">
        <x:f>I17+I19</x:f>
        <x:v>43173120.98920449</x:v>
      </x:c>
      <x:c r="J20" s="45" t="n">
        <x:f>J17+J19</x:f>
        <x:v>47751373.53733515</x:v>
      </x:c>
      <x:c r="K20" s="45" t="n">
        <x:f>K17+K19</x:f>
        <x:v>47751373.53733515</x:v>
      </x:c>
      <x:c r="L20" s="45" t="n">
        <x:f>L17+L19</x:f>
        <x:v>47751373.53733515</x:v>
      </x:c>
      <x:c r="M20" s="45" t="n">
        <x:f>M17+M19</x:f>
        <x:v>47751373.53733515</x:v>
      </x:c>
      <x:c r="N20" s="45" t="n">
        <x:f>N17+N19</x:f>
        <x:v>47751373.53733515</x:v>
      </x:c>
      <x:c r="O20" s="45" t="n">
        <x:f>O17+O19</x:f>
        <x:v>47751373.53733515</x:v>
      </x:c>
      <x:c r="P20" s="45" t="n">
        <x:f>P17+P19</x:f>
        <x:v>47751373.53733515</x:v>
      </x:c>
    </x:row>
    <x:row r="21" ht="22" customHeight="1">
      <x:c r="A21" s="1"/>
      <x:c r="B21" s="1"/>
      <x:c r="C21" s="1" t="str">
        <x:v>Transfer to next rent renewal reserve</x:v>
      </x:c>
      <x:c r="D21" s="1"/>
      <x:c r="E21" s="44" t="n">
        <x:f>'Operations'!$E$40</x:f>
        <x:v>44444444.44444444</x:v>
      </x:c>
      <x:c r="F21" s="44" t="n">
        <x:f>'Operations'!$E$40</x:f>
        <x:v>44444444.44444444</x:v>
      </x:c>
      <x:c r="G21" s="44" t="n">
        <x:f>'Operations'!$E$40</x:f>
        <x:v>44444444.44444444</x:v>
      </x:c>
      <x:c r="H21" s="44" t="n">
        <x:f>'Operations'!$E$40</x:f>
        <x:v>44444444.44444444</x:v>
      </x:c>
      <x:c r="I21" s="44" t="n">
        <x:f>'Operations'!$E$40</x:f>
        <x:v>44444444.44444444</x:v>
      </x:c>
      <x:c r="J21" s="44" t="n">
        <x:f>'Operations'!$E$40</x:f>
        <x:v>44444444.44444444</x:v>
      </x:c>
      <x:c r="K21" s="44" t="n">
        <x:f>'Operations'!$E$40</x:f>
        <x:v>44444444.44444444</x:v>
      </x:c>
      <x:c r="L21" s="44" t="n">
        <x:f>'Operations'!$E$40</x:f>
        <x:v>44444444.44444444</x:v>
      </x:c>
      <x:c r="M21" s="44" t="n">
        <x:f>'Operations'!$E$40</x:f>
        <x:v>44444444.44444444</x:v>
      </x:c>
      <x:c r="N21" s="44" t="n">
        <x:f>'Operations'!$E$40</x:f>
        <x:v>44444444.44444444</x:v>
      </x:c>
      <x:c r="O21" s="44" t="n">
        <x:f>'Operations'!$E$40</x:f>
        <x:v>44444444.44444444</x:v>
      </x:c>
      <x:c r="P21" s="44" t="n">
        <x:f>'Operations'!$E$40</x:f>
        <x:v>44444444.44444444</x:v>
      </x:c>
    </x:row>
    <x:row r="22" ht="22" customHeight="1">
      <x:c r="A22" s="1"/>
      <x:c r="B22" s="1"/>
      <x:c r="C22" s="40" t="str">
        <x:v>Cash generated after renewal reserve</x:v>
      </x:c>
      <x:c r="D22" s="40"/>
      <x:c r="E22" s="48" t="n">
        <x:f>E20-E21</x:f>
        <x:v>-59201597.66008442</x:v>
      </x:c>
      <x:c r="F22" s="48" t="n">
        <x:f>F20-F21</x:f>
        <x:v>-41822515.39863108</x:v>
      </x:c>
      <x:c r="G22" s="48" t="n">
        <x:f>G20-G21</x:f>
        <x:v>-24443433.137177736</x:v>
      </x:c>
      <x:c r="H22" s="48" t="n">
        <x:f>H20-H21</x:f>
        <x:v>-12857378.296208844</x:v>
      </x:c>
      <x:c r="I22" s="48" t="n">
        <x:f>I20-I21</x:f>
        <x:v>-1271323.4552399516</x:v>
      </x:c>
      <x:c r="J22" s="48" t="n">
        <x:f>J20-J21</x:f>
        <x:v>3306929.0928907096</x:v>
      </x:c>
      <x:c r="K22" s="48" t="n">
        <x:f>K20-K21</x:f>
        <x:v>3306929.0928907096</x:v>
      </x:c>
      <x:c r="L22" s="48" t="n">
        <x:f>L20-L21</x:f>
        <x:v>3306929.0928907096</x:v>
      </x:c>
      <x:c r="M22" s="48" t="n">
        <x:f>M20-M21</x:f>
        <x:v>3306929.0928907096</x:v>
      </x:c>
      <x:c r="N22" s="48" t="n">
        <x:f>N20-N21</x:f>
        <x:v>3306929.0928907096</x:v>
      </x:c>
      <x:c r="O22" s="48" t="n">
        <x:f>O20-O21</x:f>
        <x:v>3306929.0928907096</x:v>
      </x:c>
      <x:c r="P22" s="48" t="n">
        <x:f>P20-P21</x:f>
        <x:v>3306929.0928907096</x:v>
      </x:c>
    </x:row>
    <x:row r="23" ht="22" customHeight="1">
      <x:c r="A23" s="1"/>
      <x:c r="B23" s="1"/>
      <x:c r="C23" s="1"/>
      <x:c r="D23" s="1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</x:row>
    <x:row r="24" ht="22" customHeight="1">
      <x:c r="A24" s="1"/>
      <x:c r="B24" s="1"/>
      <x:c r="C24" s="1" t="str">
        <x:v>Opening bank cash</x:v>
      </x:c>
      <x:c r="D24" s="1"/>
      <x:c r="E24" s="44" t="n">
        <x:f>'Operations'!$G$66</x:f>
        <x:v>197683200</x:v>
      </x:c>
      <x:c r="F24" s="45" t="n">
        <x:f>E25</x:f>
        <x:v>182926046.78436002</x:v>
      </x:c>
      <x:c r="G24" s="45" t="n">
        <x:f>F25</x:f>
        <x:v>185547975.83017337</x:v>
      </x:c>
      <x:c r="H24" s="45" t="n">
        <x:f>G25</x:f>
        <x:v>205548987.1374401</x:v>
      </x:c>
      <x:c r="I24" s="45" t="n">
        <x:f>H25</x:f>
        <x:v>237136053.28567567</x:v>
      </x:c>
      <x:c r="J24" s="45" t="n">
        <x:f>I25</x:f>
        <x:v>280309174.2748802</x:v>
      </x:c>
      <x:c r="K24" s="45" t="n">
        <x:f>J25</x:f>
        <x:v>328060547.8122153</x:v>
      </x:c>
      <x:c r="L24" s="45" t="n">
        <x:f>K25</x:f>
        <x:v>375811921.3495505</x:v>
      </x:c>
      <x:c r="M24" s="45" t="n">
        <x:f>L25</x:f>
        <x:v>423563294.88688564</x:v>
      </x:c>
      <x:c r="N24" s="45" t="n">
        <x:f>M25</x:f>
        <x:v>471314668.4242208</x:v>
      </x:c>
      <x:c r="O24" s="45" t="n">
        <x:f>N25</x:f>
        <x:v>519066041.96155596</x:v>
      </x:c>
      <x:c r="P24" s="45" t="n">
        <x:f>O25</x:f>
        <x:v>566817415.4988911</x:v>
      </x:c>
    </x:row>
    <x:row r="25" ht="22" customHeight="1">
      <x:c r="A25" s="1"/>
      <x:c r="B25" s="1"/>
      <x:c r="C25" s="40" t="str">
        <x:v>Closing bank cash</x:v>
      </x:c>
      <x:c r="D25" s="40"/>
      <x:c r="E25" s="48" t="n">
        <x:f>E24+E20</x:f>
        <x:v>182926046.78436002</x:v>
      </x:c>
      <x:c r="F25" s="48" t="n">
        <x:f>F24+F20</x:f>
        <x:v>185547975.83017337</x:v>
      </x:c>
      <x:c r="G25" s="48" t="n">
        <x:f>G24+G20</x:f>
        <x:v>205548987.1374401</x:v>
      </x:c>
      <x:c r="H25" s="48" t="n">
        <x:f>H24+H20</x:f>
        <x:v>237136053.28567567</x:v>
      </x:c>
      <x:c r="I25" s="48" t="n">
        <x:f>I24+I20</x:f>
        <x:v>280309174.2748802</x:v>
      </x:c>
      <x:c r="J25" s="48" t="n">
        <x:f>J24+J20</x:f>
        <x:v>328060547.8122153</x:v>
      </x:c>
      <x:c r="K25" s="48" t="n">
        <x:f>K24+K20</x:f>
        <x:v>375811921.3495505</x:v>
      </x:c>
      <x:c r="L25" s="48" t="n">
        <x:f>L24+L20</x:f>
        <x:v>423563294.88688564</x:v>
      </x:c>
      <x:c r="M25" s="48" t="n">
        <x:f>M24+M20</x:f>
        <x:v>471314668.4242208</x:v>
      </x:c>
      <x:c r="N25" s="48" t="n">
        <x:f>N24+N20</x:f>
        <x:v>519066041.96155596</x:v>
      </x:c>
      <x:c r="O25" s="48" t="n">
        <x:f>O24+O20</x:f>
        <x:v>566817415.4988911</x:v>
      </x:c>
      <x:c r="P25" s="48" t="n">
        <x:f>P24+P20</x:f>
        <x:v>614568789.0362263</x:v>
      </x:c>
    </x:row>
    <x:row r="26" ht="22" customHeight="1">
      <x:c r="A26" s="1"/>
      <x:c r="B26" s="1"/>
      <x:c r="C26" s="1" t="str">
        <x:v>Restricted rent renewal balance</x:v>
      </x:c>
      <x:c r="D26" s="1"/>
      <x:c r="E26" s="45" t="n">
        <x:f>E21</x:f>
        <x:v>44444444.44444444</x:v>
      </x:c>
      <x:c r="F26" s="45" t="n">
        <x:f>E26+F21</x:f>
        <x:v>88888888.88888888</x:v>
      </x:c>
      <x:c r="G26" s="45" t="n">
        <x:f>F26+G21</x:f>
        <x:v>133333333.33333331</x:v>
      </x:c>
      <x:c r="H26" s="45" t="n">
        <x:f>G26+H21</x:f>
        <x:v>177777777.77777776</x:v>
      </x:c>
      <x:c r="I26" s="45" t="n">
        <x:f>H26+I21</x:f>
        <x:v>222222222.2222222</x:v>
      </x:c>
      <x:c r="J26" s="45" t="n">
        <x:f>I26+J21</x:f>
        <x:v>266666666.66666666</x:v>
      </x:c>
      <x:c r="K26" s="45" t="n">
        <x:f>J26+K21</x:f>
        <x:v>311111111.1111111</x:v>
      </x:c>
      <x:c r="L26" s="45" t="n">
        <x:f>K26+L21</x:f>
        <x:v>355555555.5555555</x:v>
      </x:c>
      <x:c r="M26" s="45" t="n">
        <x:f>L26+M21</x:f>
        <x:v>399999999.99999994</x:v>
      </x:c>
      <x:c r="N26" s="45" t="n">
        <x:f>M26+N21</x:f>
        <x:v>444444444.44444436</x:v>
      </x:c>
      <x:c r="O26" s="45" t="n">
        <x:f>N26+O21</x:f>
        <x:v>488888888.8888888</x:v>
      </x:c>
      <x:c r="P26" s="45" t="n">
        <x:f>O26+P21</x:f>
        <x:v>533333333.3333332</x:v>
      </x:c>
    </x:row>
    <x:row r="27" ht="22" customHeight="1">
      <x:c r="A27" s="1"/>
      <x:c r="B27" s="1"/>
      <x:c r="C27" s="40" t="str">
        <x:v>Unrestricted closing cash</x:v>
      </x:c>
      <x:c r="D27" s="40"/>
      <x:c r="E27" s="48" t="n">
        <x:f>E25-E26</x:f>
        <x:v>138481602.33991557</x:v>
      </x:c>
      <x:c r="F27" s="48" t="n">
        <x:f>F25-F26</x:f>
        <x:v>96659086.9412845</x:v>
      </x:c>
      <x:c r="G27" s="48" t="n">
        <x:f>G25-G26</x:f>
        <x:v>72215653.80410677</x:v>
      </x:c>
      <x:c r="H27" s="48" t="n">
        <x:f>H25-H26</x:f>
        <x:v>59358275.50789791</x:v>
      </x:c>
      <x:c r="I27" s="48" t="n">
        <x:f>I25-I26</x:f>
        <x:v>58086952.05265796</x:v>
      </x:c>
      <x:c r="J27" s="48" t="n">
        <x:f>J25-J26</x:f>
        <x:v>61393881.14554867</x:v>
      </x:c>
      <x:c r="K27" s="48" t="n">
        <x:f>K25-K26</x:f>
        <x:v>64700810.23843938</x:v>
      </x:c>
      <x:c r="L27" s="48" t="n">
        <x:f>L25-L26</x:f>
        <x:v>68007739.33133012</x:v>
      </x:c>
      <x:c r="M27" s="48" t="n">
        <x:f>M25-M26</x:f>
        <x:v>71314668.42422086</x:v>
      </x:c>
      <x:c r="N27" s="48" t="n">
        <x:f>N25-N26</x:f>
        <x:v>74621597.5171116</x:v>
      </x:c>
      <x:c r="O27" s="48" t="n">
        <x:f>O25-O26</x:f>
        <x:v>77928526.61000234</x:v>
      </x:c>
      <x:c r="P27" s="48" t="n">
        <x:f>P25-P26</x:f>
        <x:v>81235455.70289308</x:v>
      </x:c>
    </x:row>
    <x:row r="28" ht="22" customHeight="1">
      <x:c r="A28" s="1"/>
      <x:c r="B28" s="1"/>
      <x:c r="C28" s="1"/>
      <x:c r="D28" s="1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</x:row>
    <x:row r="29" ht="22" customHeight="1">
      <x:c r="A29" s="1"/>
      <x:c r="B29" s="1"/>
      <x:c r="C29" s="1" t="str">
        <x:v>Additional funding required vs initial reserve</x:v>
      </x:c>
      <x:c r="D29" s="1"/>
      <x:c r="E29" s="45" t="n">
        <x:f>MAX(0,-E27)</x:f>
        <x:v>0</x:v>
      </x:c>
      <x:c r="F29" s="45" t="n">
        <x:f>MAX(0,-F27)</x:f>
        <x:v>0</x:v>
      </x:c>
      <x:c r="G29" s="45" t="n">
        <x:f>MAX(0,-G27)</x:f>
        <x:v>0</x:v>
      </x:c>
      <x:c r="H29" s="45" t="n">
        <x:f>MAX(0,-H27)</x:f>
        <x:v>0</x:v>
      </x:c>
      <x:c r="I29" s="45" t="n">
        <x:f>MAX(0,-I27)</x:f>
        <x:v>0</x:v>
      </x:c>
      <x:c r="J29" s="45" t="n">
        <x:f>MAX(0,-J27)</x:f>
        <x:v>0</x:v>
      </x:c>
      <x:c r="K29" s="45" t="n">
        <x:f>MAX(0,-K27)</x:f>
        <x:v>0</x:v>
      </x:c>
      <x:c r="L29" s="45" t="n">
        <x:f>MAX(0,-L27)</x:f>
        <x:v>0</x:v>
      </x:c>
      <x:c r="M29" s="45" t="n">
        <x:f>MAX(0,-M27)</x:f>
        <x:v>0</x:v>
      </x:c>
      <x:c r="N29" s="45" t="n">
        <x:f>MAX(0,-N27)</x:f>
        <x:v>0</x:v>
      </x:c>
      <x:c r="O29" s="45" t="n">
        <x:f>MAX(0,-O27)</x:f>
        <x:v>0</x:v>
      </x:c>
      <x:c r="P29" s="45" t="n">
        <x:f>MAX(0,-P27)</x:f>
        <x:v>0</x:v>
      </x:c>
    </x:row>
    <x:row r="30" ht="22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22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 ht="22" customHeight="1">
      <x:c r="A32" s="1"/>
      <x:c r="B32" s="1"/>
      <x:c r="C32" s="1" t="str">
        <x:v>Amounts shown in IDR millions.</x:v>
      </x:c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22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22" customHeight="1">
      <x:c r="A34" s="1"/>
      <x:c r="B34" s="1"/>
      <x:c r="C34" s="1" t="str">
        <x:v>Prepayment assumed to cover operating months 1–12.</x:v>
      </x:c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22" customHeight="1">
      <x:c r="A35" s="1"/>
      <x:c r="B35" s="1"/>
      <x:c r="C35" s="1" t="str">
        <x:v>Renewal reserve retains rent every month; it is not extra rent expense.</x:v>
      </x:c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2" customHeight="1">
      <x:c r="A36" s="1"/>
      <x:c r="B36" s="1"/>
      <x:c r="C36" s="1" t="str">
        <x:v>No debt, distributions, residual value or tax-loss credits assumed.</x:v>
      </x:c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2" customHeight="1">
      <x:c r="A37" s="1"/>
      <x:c r="B37" s="1"/>
      <x:c r="C37" s="1" t="str">
        <x:v>Receipts and variable costs settle within the month; opening float covers timing.</x:v>
      </x:c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22" customHeight="1">
      <x:c r="A38" s="1"/>
      <x:c r="B38" s="1"/>
      <x:c r="C38" s="1" t="str">
        <x:v>Flat steady demand after launch; no calendar seasonality is claimed.</x:v>
      </x:c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22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22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 ht="22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22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22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22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22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 ht="22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 ht="22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 ht="22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22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22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  <x:row r="51" ht="22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</x:row>
    <x:row r="52" ht="22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</x:row>
    <x:row r="53" ht="22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</x:row>
    <x:row r="54" ht="22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</x:row>
    <x:row r="55" ht="22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</x:row>
    <x:row r="56" ht="22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</x:row>
    <x:row r="57" ht="22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</x:row>
    <x:row r="58" ht="22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</x:row>
    <x:row r="59" ht="22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</x:row>
    <x:row r="60" ht="22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</x:row>
    <x:row r="61" ht="22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</x:row>
    <x:row r="62" ht="22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</x:row>
    <x:row r="63" ht="22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</x:row>
    <x:row r="64" ht="22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</x:row>
    <x:row r="65" ht="22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</x:row>
    <x:row r="66" ht="22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</x:row>
    <x:row r="67" ht="22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</x:row>
    <x:row r="68" ht="22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</x:row>
    <x:row r="69" ht="22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</x:row>
    <x:row r="70" ht="22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</x:row>
    <x:row r="71" ht="22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</x:row>
    <x:row r="72" ht="22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</x:row>
    <x:row r="73" ht="22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</x:row>
    <x:row r="74" ht="22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</x:row>
    <x:row r="75" ht="22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</x:row>
    <x:row r="76" ht="22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</x:row>
    <x:row r="77" ht="22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</x:row>
    <x:row r="78" ht="22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</x:row>
    <x:row r="79" ht="22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</x:row>
    <x:row r="80" ht="22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</x:row>
    <x:row r="81" ht="22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</x:row>
    <x:row r="82" ht="22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</x:row>
    <x:row r="83" ht="22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</x:row>
    <x:row r="84" ht="22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</x:row>
    <x:row r="85" ht="22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</x:row>
    <x:row r="86" ht="22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</x:row>
    <x:row r="87" ht="22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</x:row>
    <x:row r="88" ht="22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</x:row>
    <x:row r="89" ht="22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</x:row>
    <x:row r="90" ht="22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</x:row>
    <x:row r="91" ht="22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</x:row>
    <x:row r="92" ht="22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</x:row>
    <x:row r="93" ht="22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</x:row>
    <x:row r="94" ht="22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</x:row>
    <x:row r="95" ht="22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</x:row>
    <x:row r="96" ht="22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</x:row>
    <x:row r="97" ht="22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</x:row>
    <x:row r="98" ht="22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</x:row>
    <x:row r="99" ht="22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</x:row>
    <x:row r="100" ht="22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</x:row>
    <x:row r="101" ht="22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</x:row>
    <x:row r="102" ht="22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</x:row>
    <x:row r="103" ht="22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</x:row>
    <x:row r="104" ht="22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</x:row>
    <x:row r="105" ht="22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</x:row>
    <x:row r="106" ht="22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</x:row>
    <x:row r="107" ht="22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</x:row>
    <x:row r="108" ht="22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</x:row>
    <x:row r="109" ht="22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</x:row>
    <x:row r="110" ht="22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</x:row>
    <x:row r="111" ht="22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</x:row>
    <x:row r="112" ht="22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</x:row>
    <x:row r="113" ht="22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</x:row>
    <x:row r="114" ht="22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</x:row>
    <x:row r="115" ht="22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</x:row>
    <x:row r="116" ht="22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</x:row>
    <x:row r="117" ht="22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</x:row>
    <x:row r="118" ht="22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</x:row>
    <x:row r="119" ht="22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</x:row>
    <x:row r="120" ht="22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</x:row>
    <x:row r="121" ht="22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</x:row>
    <x:row r="122" ht="22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</x:row>
    <x:row r="123" ht="22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</x:row>
    <x:row r="124" ht="22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</x:row>
    <x:row r="125" ht="22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</x:row>
    <x:row r="126" ht="22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</x:row>
    <x:row r="127" ht="22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</x:row>
    <x:row r="128" ht="22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</x:row>
    <x:row r="129" ht="22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</x:row>
    <x:row r="130" ht="22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</x:row>
    <x:row r="131" ht="22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</x:row>
    <x:row r="132" ht="22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</x:row>
    <x:row r="133" ht="22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</x:row>
    <x:row r="134" ht="22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</x:row>
    <x:row r="135" ht="22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</x:row>
    <x:row r="136" ht="22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</x:row>
    <x:row r="137" ht="22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</x:row>
    <x:row r="138" ht="22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</x:row>
    <x:row r="139" ht="22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</x:row>
    <x:row r="140" ht="22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</x:row>
    <x:row r="141" ht="22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</x:row>
    <x:row r="142" ht="22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</x:row>
    <x:row r="143" ht="22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</x:row>
    <x:row r="144" ht="22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</x:row>
    <x:row r="145" ht="22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</x:row>
    <x:row r="146" ht="22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</x:row>
    <x:row r="147" ht="22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</x:row>
    <x:row r="148" ht="22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</x:row>
    <x:row r="149" ht="22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</x:row>
    <x:row r="150" ht="22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</x:row>
    <x:row r="151" ht="22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</x:row>
    <x:row r="152" ht="22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</x:row>
    <x:row r="153" ht="22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</x:row>
    <x:row r="154" ht="22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</x:row>
    <x:row r="155" ht="22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</x:row>
    <x:row r="156" ht="22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</x:row>
    <x:row r="157" ht="22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</x:row>
    <x:row r="158" ht="22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</x:row>
    <x:row r="159" ht="22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</x:row>
    <x:row r="160" ht="22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</x:row>
    <x:row r="161" ht="22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</x:row>
    <x:row r="162" ht="22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</x:row>
    <x:row r="163" ht="22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</x:row>
    <x:row r="164" ht="22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</x:row>
    <x:row r="165" ht="22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</x:row>
    <x:row r="166" ht="22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</x:row>
    <x:row r="167" ht="22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</x:row>
    <x:row r="168" ht="22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</x:row>
    <x:row r="169" ht="22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</x:row>
    <x:row r="170" ht="22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</x:row>
    <x:row r="171" ht="22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</x:row>
    <x:row r="172" ht="22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</x:row>
    <x:row r="173" ht="22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</x:row>
    <x:row r="174" ht="22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</x:row>
    <x:row r="175" ht="22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</x:row>
    <x:row r="176" ht="22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</x:row>
    <x:row r="177" ht="22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</x:row>
    <x:row r="178" ht="22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</x:row>
    <x:row r="179" ht="22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</x:row>
    <x:row r="180" ht="22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</x:row>
    <x:row r="181" ht="22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</x:row>
    <x:row r="182" ht="22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</x:row>
    <x:row r="183" ht="22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</x:row>
    <x:row r="184" ht="22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</x:row>
    <x:row r="185" ht="22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</x:row>
    <x:row r="186" ht="22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</x:row>
    <x:row r="187" ht="22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</x:row>
    <x:row r="188" ht="22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</x:row>
    <x:row r="189" ht="22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</x:row>
    <x:row r="190" ht="22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</x:row>
  </x:sheetData>
  <x:conditionalFormatting sqref="E10:P29">
    <x:cfRule type="cellIs" dxfId="2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2" hidden="0" customWidth="1"/>
    <x:col min="4" max="4" width="24" hidden="0" customWidth="1"/>
    <x:col min="5" max="5" width="18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38" hidden="0" customWidth="1"/>
    <x:col min="12" max="12" width="20" hidden="0" customWidth="1"/>
    <x:col min="13" max="13" width="43" hidden="0" customWidth="1"/>
    <x:col min="14" max="14" width="23" hidden="0" customWidth="1"/>
    <x:col min="15" max="15" width="23" hidden="0" customWidth="1"/>
    <x:col min="16" max="16" width="23" hidden="0" customWidth="1"/>
    <x:col min="17" max="17" width="23" hidden="0" customWidth="1"/>
    <x:col min="18" max="18" width="23" hidden="0" customWidth="1"/>
    <x:col min="19" max="19" width="23" hidden="0" customWidth="1"/>
    <x:col min="20" max="20" width="23" hidden="0" customWidth="1"/>
    <x:col min="21" max="21" width="23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2" customHeight="1">
      <x:c r="A2" s="1"/>
      <x:c r="B2" s="1"/>
      <x:c r="C2" s="2" t="str">
        <x:v>Maya Berawa · Fieldwork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2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2" customHeight="1">
      <x:c r="A4" s="1"/>
      <x:c r="B4" s="1"/>
      <x:c r="C4" s="1" t="str">
        <x:v>Case selected</x:v>
      </x:c>
      <x:c r="D4" s="1"/>
      <x:c r="E4" s="5" t="str">
        <x:f>'Inputs'!G4</x:f>
        <x:v>Base</x:v>
      </x:c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22" customHeight="1">
      <x:c r="A6" s="1"/>
      <x:c r="B6" s="1"/>
      <x:c r="C6" s="1" t="str">
        <x:v>Seven-day observation and paid-pilot log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22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22" customHeight="1">
      <x:c r="A8" s="1"/>
      <x:c r="B8" s="1"/>
      <x:c r="C8" s="1" t="str">
        <x:v>Enter dates and counts. Blank means not observed. Keep venue exits separate.</x:v>
      </x:c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 ht="22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 ht="36" customHeight="1">
      <x:c r="A10" s="1"/>
      <x:c r="B10" s="1"/>
      <x:c r="C10" s="21" t="str">
        <x:v>Day</x:v>
      </x:c>
      <x:c r="D10" s="21" t="str">
        <x:v>Location / test</x:v>
      </x:c>
      <x:c r="E10" s="21" t="str">
        <x:v>Time window</x:v>
      </x:c>
      <x:c r="F10" s="21" t="str">
        <x:v>Eligible passers</x:v>
      </x:c>
      <x:c r="G10" s="21" t="str">
        <x:v>Paid orders</x:v>
      </x:c>
      <x:c r="H10" s="21" t="str">
        <x:v>Customer receipts IDR</x:v>
      </x:c>
      <x:c r="I10" s="21" t="str">
        <x:v>Known repeat buyers</x:v>
      </x:c>
      <x:c r="J10" s="21" t="str">
        <x:v>P90 wait minutes</x:v>
      </x:c>
      <x:c r="K10" s="21" t="str">
        <x:v>Weather / notes</x:v>
      </x:c>
      <x:c r="L10" s="21" t="str">
        <x:v>Observer</x:v>
      </x:c>
      <x:c r="M10" s="1"/>
      <x:c r="N10" s="1"/>
      <x:c r="O10" s="1"/>
      <x:c r="P10" s="1"/>
    </x:row>
    <x:row r="11" ht="22" customHeight="1">
      <x:c r="A11" s="1"/>
      <x:c r="B11" s="1"/>
      <x:c r="C11" s="1" t="str">
        <x:v>Day 1</x:v>
      </x:c>
      <x:c r="D11" s="1" t="str">
        <x:v>Maya frontage</x:v>
      </x:c>
      <x:c r="E11" s="1" t="str">
        <x:v>07:00–10:00</x:v>
      </x:c>
      <x:c r="F11" s="9"/>
      <x:c r="G11" s="9"/>
      <x:c r="H11" s="10"/>
      <x:c r="I11" s="9"/>
      <x:c r="J11" s="9"/>
      <x:c r="K11" s="8"/>
      <x:c r="L11" s="8"/>
      <x:c r="M11" s="1"/>
      <x:c r="N11" s="1"/>
      <x:c r="O11" s="1"/>
      <x:c r="P11" s="1"/>
    </x:row>
    <x:row r="12" ht="22" customHeight="1">
      <x:c r="A12" s="1"/>
      <x:c r="B12" s="1"/>
      <x:c r="C12" s="1" t="str">
        <x:v>Day 1</x:v>
      </x:c>
      <x:c r="D12" s="1" t="str">
        <x:v>Maya frontage</x:v>
      </x:c>
      <x:c r="E12" s="1" t="str">
        <x:v>11:00–14:00</x:v>
      </x:c>
      <x:c r="F12" s="9"/>
      <x:c r="G12" s="9"/>
      <x:c r="H12" s="10"/>
      <x:c r="I12" s="9"/>
      <x:c r="J12" s="9"/>
      <x:c r="K12" s="8"/>
      <x:c r="L12" s="8"/>
      <x:c r="M12" s="1"/>
      <x:c r="N12" s="1"/>
      <x:c r="O12" s="1"/>
      <x:c r="P12" s="1"/>
    </x:row>
    <x:row r="13" ht="22" customHeight="1">
      <x:c r="A13" s="1"/>
      <x:c r="B13" s="1"/>
      <x:c r="C13" s="1" t="str">
        <x:v>Day 1</x:v>
      </x:c>
      <x:c r="D13" s="1" t="str">
        <x:v>Maya frontage</x:v>
      </x:c>
      <x:c r="E13" s="1" t="str">
        <x:v>15:00–17:00</x:v>
      </x:c>
      <x:c r="F13" s="9"/>
      <x:c r="G13" s="9"/>
      <x:c r="H13" s="10"/>
      <x:c r="I13" s="9"/>
      <x:c r="J13" s="9"/>
      <x:c r="K13" s="8"/>
      <x:c r="L13" s="8"/>
      <x:c r="M13" s="1"/>
      <x:c r="N13" s="1"/>
      <x:c r="O13" s="1"/>
      <x:c r="P13" s="1"/>
    </x:row>
    <x:row r="14" ht="22" customHeight="1">
      <x:c r="A14" s="1"/>
      <x:c r="B14" s="1"/>
      <x:c r="C14" s="1" t="str">
        <x:v>Day 1</x:v>
      </x:c>
      <x:c r="D14" s="1" t="str">
        <x:v>Maya night pilot</x:v>
      </x:c>
      <x:c r="E14" s="1" t="str">
        <x:v>22:00–00:00</x:v>
      </x:c>
      <x:c r="F14" s="9"/>
      <x:c r="G14" s="9"/>
      <x:c r="H14" s="10"/>
      <x:c r="I14" s="9"/>
      <x:c r="J14" s="9"/>
      <x:c r="K14" s="8"/>
      <x:c r="L14" s="8"/>
      <x:c r="M14" s="1"/>
      <x:c r="N14" s="1"/>
      <x:c r="O14" s="1"/>
      <x:c r="P14" s="1"/>
    </x:row>
    <x:row r="15" ht="22" customHeight="1">
      <x:c r="A15" s="1"/>
      <x:c r="B15" s="1"/>
      <x:c r="C15" s="1" t="str">
        <x:v>Day 1</x:v>
      </x:c>
      <x:c r="D15" s="1" t="str">
        <x:v>Maya night pilot</x:v>
      </x:c>
      <x:c r="E15" s="1" t="str">
        <x:v>00:00–03:00</x:v>
      </x:c>
      <x:c r="F15" s="9"/>
      <x:c r="G15" s="9"/>
      <x:c r="H15" s="10"/>
      <x:c r="I15" s="9"/>
      <x:c r="J15" s="9"/>
      <x:c r="K15" s="8"/>
      <x:c r="L15" s="8"/>
      <x:c r="M15" s="1"/>
      <x:c r="N15" s="1"/>
      <x:c r="O15" s="1"/>
      <x:c r="P15" s="1"/>
    </x:row>
    <x:row r="16" ht="22" customHeight="1">
      <x:c r="A16" s="1"/>
      <x:c r="B16" s="1"/>
      <x:c r="C16" s="1" t="str">
        <x:v>Day 1</x:v>
      </x:c>
      <x:c r="D16" s="1" t="str">
        <x:v>Shady Pig exit</x:v>
      </x:c>
      <x:c r="E16" s="1" t="str">
        <x:v>Event close</x:v>
      </x:c>
      <x:c r="F16" s="9"/>
      <x:c r="G16" s="9"/>
      <x:c r="H16" s="10"/>
      <x:c r="I16" s="9"/>
      <x:c r="J16" s="9"/>
      <x:c r="K16" s="8"/>
      <x:c r="L16" s="8"/>
      <x:c r="M16" s="1"/>
      <x:c r="N16" s="1"/>
      <x:c r="O16" s="1"/>
      <x:c r="P16" s="1"/>
    </x:row>
    <x:row r="17" ht="22" customHeight="1">
      <x:c r="A17" s="1"/>
      <x:c r="B17" s="1"/>
      <x:c r="C17" s="1" t="str">
        <x:v>Day 1</x:v>
      </x:c>
      <x:c r="D17" s="1" t="str">
        <x:v>Vault exit</x:v>
      </x:c>
      <x:c r="E17" s="1" t="str">
        <x:v>Event close</x:v>
      </x:c>
      <x:c r="F17" s="9"/>
      <x:c r="G17" s="9"/>
      <x:c r="H17" s="10"/>
      <x:c r="I17" s="9"/>
      <x:c r="J17" s="9"/>
      <x:c r="K17" s="8"/>
      <x:c r="L17" s="8"/>
      <x:c r="M17" s="1"/>
      <x:c r="N17" s="1"/>
      <x:c r="O17" s="1"/>
      <x:c r="P17" s="1"/>
    </x:row>
    <x:row r="18" ht="22" customHeight="1">
      <x:c r="A18" s="1"/>
      <x:c r="B18" s="1"/>
      <x:c r="C18" s="1" t="str">
        <x:v>Day 1</x:v>
      </x:c>
      <x:c r="D18" s="1" t="str">
        <x:v>Mesa exit</x:v>
      </x:c>
      <x:c r="E18" s="1" t="str">
        <x:v>Event close</x:v>
      </x:c>
      <x:c r="F18" s="9"/>
      <x:c r="G18" s="9"/>
      <x:c r="H18" s="10"/>
      <x:c r="I18" s="9"/>
      <x:c r="J18" s="9"/>
      <x:c r="K18" s="8"/>
      <x:c r="L18" s="8"/>
      <x:c r="M18" s="1"/>
      <x:c r="N18" s="1"/>
      <x:c r="O18" s="1"/>
      <x:c r="P18" s="1"/>
    </x:row>
    <x:row r="19" ht="22" customHeight="1">
      <x:c r="A19" s="1"/>
      <x:c r="B19" s="1"/>
      <x:c r="C19" s="1" t="str">
        <x:v>Day 2</x:v>
      </x:c>
      <x:c r="D19" s="1" t="str">
        <x:v>Maya frontage</x:v>
      </x:c>
      <x:c r="E19" s="1" t="str">
        <x:v>07:00–10:00</x:v>
      </x:c>
      <x:c r="F19" s="9"/>
      <x:c r="G19" s="9"/>
      <x:c r="H19" s="10"/>
      <x:c r="I19" s="9"/>
      <x:c r="J19" s="9"/>
      <x:c r="K19" s="8"/>
      <x:c r="L19" s="8"/>
      <x:c r="M19" s="1"/>
      <x:c r="N19" s="1"/>
      <x:c r="O19" s="1"/>
      <x:c r="P19" s="1"/>
    </x:row>
    <x:row r="20" ht="22" customHeight="1">
      <x:c r="A20" s="1"/>
      <x:c r="B20" s="1"/>
      <x:c r="C20" s="1" t="str">
        <x:v>Day 2</x:v>
      </x:c>
      <x:c r="D20" s="1" t="str">
        <x:v>Maya frontage</x:v>
      </x:c>
      <x:c r="E20" s="1" t="str">
        <x:v>11:00–14:00</x:v>
      </x:c>
      <x:c r="F20" s="9"/>
      <x:c r="G20" s="9"/>
      <x:c r="H20" s="10"/>
      <x:c r="I20" s="9"/>
      <x:c r="J20" s="9"/>
      <x:c r="K20" s="8"/>
      <x:c r="L20" s="8"/>
      <x:c r="M20" s="1"/>
      <x:c r="N20" s="1"/>
      <x:c r="O20" s="1"/>
      <x:c r="P20" s="1"/>
    </x:row>
    <x:row r="21" ht="22" customHeight="1">
      <x:c r="A21" s="1"/>
      <x:c r="B21" s="1"/>
      <x:c r="C21" s="1" t="str">
        <x:v>Day 2</x:v>
      </x:c>
      <x:c r="D21" s="1" t="str">
        <x:v>Maya frontage</x:v>
      </x:c>
      <x:c r="E21" s="1" t="str">
        <x:v>15:00–17:00</x:v>
      </x:c>
      <x:c r="F21" s="9"/>
      <x:c r="G21" s="9"/>
      <x:c r="H21" s="10"/>
      <x:c r="I21" s="9"/>
      <x:c r="J21" s="9"/>
      <x:c r="K21" s="8"/>
      <x:c r="L21" s="8"/>
      <x:c r="M21" s="1"/>
      <x:c r="N21" s="1"/>
      <x:c r="O21" s="1"/>
      <x:c r="P21" s="1"/>
    </x:row>
    <x:row r="22" ht="22" customHeight="1">
      <x:c r="A22" s="1"/>
      <x:c r="B22" s="1"/>
      <x:c r="C22" s="1" t="str">
        <x:v>Day 2</x:v>
      </x:c>
      <x:c r="D22" s="1" t="str">
        <x:v>Maya night pilot</x:v>
      </x:c>
      <x:c r="E22" s="1" t="str">
        <x:v>22:00–00:00</x:v>
      </x:c>
      <x:c r="F22" s="9"/>
      <x:c r="G22" s="9"/>
      <x:c r="H22" s="10"/>
      <x:c r="I22" s="9"/>
      <x:c r="J22" s="9"/>
      <x:c r="K22" s="8"/>
      <x:c r="L22" s="8"/>
      <x:c r="M22" s="1"/>
      <x:c r="N22" s="1"/>
      <x:c r="O22" s="1"/>
      <x:c r="P22" s="1"/>
    </x:row>
    <x:row r="23" ht="22" customHeight="1">
      <x:c r="A23" s="1"/>
      <x:c r="B23" s="1"/>
      <x:c r="C23" s="1" t="str">
        <x:v>Day 2</x:v>
      </x:c>
      <x:c r="D23" s="1" t="str">
        <x:v>Maya night pilot</x:v>
      </x:c>
      <x:c r="E23" s="1" t="str">
        <x:v>00:00–03:00</x:v>
      </x:c>
      <x:c r="F23" s="9"/>
      <x:c r="G23" s="9"/>
      <x:c r="H23" s="10"/>
      <x:c r="I23" s="9"/>
      <x:c r="J23" s="9"/>
      <x:c r="K23" s="8"/>
      <x:c r="L23" s="8"/>
      <x:c r="M23" s="1"/>
      <x:c r="N23" s="1"/>
      <x:c r="O23" s="1"/>
      <x:c r="P23" s="1"/>
    </x:row>
    <x:row r="24" ht="22" customHeight="1">
      <x:c r="A24" s="1"/>
      <x:c r="B24" s="1"/>
      <x:c r="C24" s="1" t="str">
        <x:v>Day 2</x:v>
      </x:c>
      <x:c r="D24" s="1" t="str">
        <x:v>Shady Pig exit</x:v>
      </x:c>
      <x:c r="E24" s="1" t="str">
        <x:v>Event close</x:v>
      </x:c>
      <x:c r="F24" s="9"/>
      <x:c r="G24" s="9"/>
      <x:c r="H24" s="10"/>
      <x:c r="I24" s="9"/>
      <x:c r="J24" s="9"/>
      <x:c r="K24" s="8"/>
      <x:c r="L24" s="8"/>
      <x:c r="M24" s="1"/>
      <x:c r="N24" s="1"/>
      <x:c r="O24" s="1"/>
      <x:c r="P24" s="1"/>
    </x:row>
    <x:row r="25" ht="22" customHeight="1">
      <x:c r="A25" s="1"/>
      <x:c r="B25" s="1"/>
      <x:c r="C25" s="1" t="str">
        <x:v>Day 2</x:v>
      </x:c>
      <x:c r="D25" s="1" t="str">
        <x:v>Vault exit</x:v>
      </x:c>
      <x:c r="E25" s="1" t="str">
        <x:v>Event close</x:v>
      </x:c>
      <x:c r="F25" s="9"/>
      <x:c r="G25" s="9"/>
      <x:c r="H25" s="10"/>
      <x:c r="I25" s="9"/>
      <x:c r="J25" s="9"/>
      <x:c r="K25" s="8"/>
      <x:c r="L25" s="8"/>
      <x:c r="M25" s="1"/>
      <x:c r="N25" s="1"/>
      <x:c r="O25" s="1"/>
      <x:c r="P25" s="1"/>
    </x:row>
    <x:row r="26" ht="22" customHeight="1">
      <x:c r="A26" s="1"/>
      <x:c r="B26" s="1"/>
      <x:c r="C26" s="1" t="str">
        <x:v>Day 2</x:v>
      </x:c>
      <x:c r="D26" s="1" t="str">
        <x:v>Mesa exit</x:v>
      </x:c>
      <x:c r="E26" s="1" t="str">
        <x:v>Event close</x:v>
      </x:c>
      <x:c r="F26" s="9"/>
      <x:c r="G26" s="9"/>
      <x:c r="H26" s="10"/>
      <x:c r="I26" s="9"/>
      <x:c r="J26" s="9"/>
      <x:c r="K26" s="8"/>
      <x:c r="L26" s="8"/>
      <x:c r="M26" s="1"/>
      <x:c r="N26" s="1"/>
      <x:c r="O26" s="1"/>
      <x:c r="P26" s="1"/>
    </x:row>
    <x:row r="27" ht="22" customHeight="1">
      <x:c r="A27" s="1"/>
      <x:c r="B27" s="1"/>
      <x:c r="C27" s="1" t="str">
        <x:v>Day 3</x:v>
      </x:c>
      <x:c r="D27" s="1" t="str">
        <x:v>Maya frontage</x:v>
      </x:c>
      <x:c r="E27" s="1" t="str">
        <x:v>07:00–10:00</x:v>
      </x:c>
      <x:c r="F27" s="9"/>
      <x:c r="G27" s="9"/>
      <x:c r="H27" s="10"/>
      <x:c r="I27" s="9"/>
      <x:c r="J27" s="9"/>
      <x:c r="K27" s="8"/>
      <x:c r="L27" s="8"/>
      <x:c r="M27" s="1"/>
      <x:c r="N27" s="1"/>
      <x:c r="O27" s="1"/>
      <x:c r="P27" s="1"/>
    </x:row>
    <x:row r="28" ht="22" customHeight="1">
      <x:c r="A28" s="1"/>
      <x:c r="B28" s="1"/>
      <x:c r="C28" s="1" t="str">
        <x:v>Day 3</x:v>
      </x:c>
      <x:c r="D28" s="1" t="str">
        <x:v>Maya frontage</x:v>
      </x:c>
      <x:c r="E28" s="1" t="str">
        <x:v>11:00–14:00</x:v>
      </x:c>
      <x:c r="F28" s="9"/>
      <x:c r="G28" s="9"/>
      <x:c r="H28" s="10"/>
      <x:c r="I28" s="9"/>
      <x:c r="J28" s="9"/>
      <x:c r="K28" s="8"/>
      <x:c r="L28" s="8"/>
      <x:c r="M28" s="1"/>
      <x:c r="N28" s="1"/>
      <x:c r="O28" s="1"/>
      <x:c r="P28" s="1"/>
    </x:row>
    <x:row r="29" ht="22" customHeight="1">
      <x:c r="A29" s="1"/>
      <x:c r="B29" s="1"/>
      <x:c r="C29" s="1" t="str">
        <x:v>Day 3</x:v>
      </x:c>
      <x:c r="D29" s="1" t="str">
        <x:v>Maya frontage</x:v>
      </x:c>
      <x:c r="E29" s="1" t="str">
        <x:v>15:00–17:00</x:v>
      </x:c>
      <x:c r="F29" s="9"/>
      <x:c r="G29" s="9"/>
      <x:c r="H29" s="10"/>
      <x:c r="I29" s="9"/>
      <x:c r="J29" s="9"/>
      <x:c r="K29" s="8"/>
      <x:c r="L29" s="8"/>
      <x:c r="M29" s="1"/>
      <x:c r="N29" s="1"/>
      <x:c r="O29" s="1"/>
      <x:c r="P29" s="1"/>
    </x:row>
    <x:row r="30" ht="22" customHeight="1">
      <x:c r="A30" s="1"/>
      <x:c r="B30" s="1"/>
      <x:c r="C30" s="1" t="str">
        <x:v>Day 3</x:v>
      </x:c>
      <x:c r="D30" s="1" t="str">
        <x:v>Maya night pilot</x:v>
      </x:c>
      <x:c r="E30" s="1" t="str">
        <x:v>22:00–00:00</x:v>
      </x:c>
      <x:c r="F30" s="9"/>
      <x:c r="G30" s="9"/>
      <x:c r="H30" s="10"/>
      <x:c r="I30" s="9"/>
      <x:c r="J30" s="9"/>
      <x:c r="K30" s="8"/>
      <x:c r="L30" s="8"/>
      <x:c r="M30" s="1"/>
      <x:c r="N30" s="1"/>
      <x:c r="O30" s="1"/>
      <x:c r="P30" s="1"/>
    </x:row>
    <x:row r="31" ht="22" customHeight="1">
      <x:c r="A31" s="1"/>
      <x:c r="B31" s="1"/>
      <x:c r="C31" s="1" t="str">
        <x:v>Day 3</x:v>
      </x:c>
      <x:c r="D31" s="1" t="str">
        <x:v>Maya night pilot</x:v>
      </x:c>
      <x:c r="E31" s="1" t="str">
        <x:v>00:00–03:00</x:v>
      </x:c>
      <x:c r="F31" s="9"/>
      <x:c r="G31" s="9"/>
      <x:c r="H31" s="10"/>
      <x:c r="I31" s="9"/>
      <x:c r="J31" s="9"/>
      <x:c r="K31" s="8"/>
      <x:c r="L31" s="8"/>
      <x:c r="M31" s="1"/>
      <x:c r="N31" s="1"/>
      <x:c r="O31" s="1"/>
      <x:c r="P31" s="1"/>
    </x:row>
    <x:row r="32" ht="22" customHeight="1">
      <x:c r="A32" s="1"/>
      <x:c r="B32" s="1"/>
      <x:c r="C32" s="1" t="str">
        <x:v>Day 3</x:v>
      </x:c>
      <x:c r="D32" s="1" t="str">
        <x:v>Shady Pig exit</x:v>
      </x:c>
      <x:c r="E32" s="1" t="str">
        <x:v>Event close</x:v>
      </x:c>
      <x:c r="F32" s="9"/>
      <x:c r="G32" s="9"/>
      <x:c r="H32" s="10"/>
      <x:c r="I32" s="9"/>
      <x:c r="J32" s="9"/>
      <x:c r="K32" s="8"/>
      <x:c r="L32" s="8"/>
      <x:c r="M32" s="1"/>
      <x:c r="N32" s="1"/>
      <x:c r="O32" s="1"/>
      <x:c r="P32" s="1"/>
    </x:row>
    <x:row r="33" ht="22" customHeight="1">
      <x:c r="A33" s="1"/>
      <x:c r="B33" s="1"/>
      <x:c r="C33" s="1" t="str">
        <x:v>Day 3</x:v>
      </x:c>
      <x:c r="D33" s="1" t="str">
        <x:v>Vault exit</x:v>
      </x:c>
      <x:c r="E33" s="1" t="str">
        <x:v>Event close</x:v>
      </x:c>
      <x:c r="F33" s="9"/>
      <x:c r="G33" s="9"/>
      <x:c r="H33" s="10"/>
      <x:c r="I33" s="9"/>
      <x:c r="J33" s="9"/>
      <x:c r="K33" s="8"/>
      <x:c r="L33" s="8"/>
      <x:c r="M33" s="1"/>
      <x:c r="N33" s="1"/>
      <x:c r="O33" s="1"/>
      <x:c r="P33" s="1"/>
    </x:row>
    <x:row r="34" ht="22" customHeight="1">
      <x:c r="A34" s="1"/>
      <x:c r="B34" s="1"/>
      <x:c r="C34" s="1" t="str">
        <x:v>Day 3</x:v>
      </x:c>
      <x:c r="D34" s="1" t="str">
        <x:v>Mesa exit</x:v>
      </x:c>
      <x:c r="E34" s="1" t="str">
        <x:v>Event close</x:v>
      </x:c>
      <x:c r="F34" s="9"/>
      <x:c r="G34" s="9"/>
      <x:c r="H34" s="10"/>
      <x:c r="I34" s="9"/>
      <x:c r="J34" s="9"/>
      <x:c r="K34" s="8"/>
      <x:c r="L34" s="8"/>
      <x:c r="M34" s="1"/>
      <x:c r="N34" s="1"/>
      <x:c r="O34" s="1"/>
      <x:c r="P34" s="1"/>
    </x:row>
    <x:row r="35" ht="22" customHeight="1">
      <x:c r="A35" s="1"/>
      <x:c r="B35" s="1"/>
      <x:c r="C35" s="1" t="str">
        <x:v>Day 4</x:v>
      </x:c>
      <x:c r="D35" s="1" t="str">
        <x:v>Maya frontage</x:v>
      </x:c>
      <x:c r="E35" s="1" t="str">
        <x:v>07:00–10:00</x:v>
      </x:c>
      <x:c r="F35" s="9"/>
      <x:c r="G35" s="9"/>
      <x:c r="H35" s="10"/>
      <x:c r="I35" s="9"/>
      <x:c r="J35" s="9"/>
      <x:c r="K35" s="8"/>
      <x:c r="L35" s="8"/>
      <x:c r="M35" s="1"/>
      <x:c r="N35" s="1"/>
      <x:c r="O35" s="1"/>
      <x:c r="P35" s="1"/>
    </x:row>
    <x:row r="36" ht="22" customHeight="1">
      <x:c r="A36" s="1"/>
      <x:c r="B36" s="1"/>
      <x:c r="C36" s="1" t="str">
        <x:v>Day 4</x:v>
      </x:c>
      <x:c r="D36" s="1" t="str">
        <x:v>Maya frontage</x:v>
      </x:c>
      <x:c r="E36" s="1" t="str">
        <x:v>11:00–14:00</x:v>
      </x:c>
      <x:c r="F36" s="9"/>
      <x:c r="G36" s="9"/>
      <x:c r="H36" s="10"/>
      <x:c r="I36" s="9"/>
      <x:c r="J36" s="9"/>
      <x:c r="K36" s="8"/>
      <x:c r="L36" s="8"/>
      <x:c r="M36" s="1"/>
      <x:c r="N36" s="1"/>
      <x:c r="O36" s="1"/>
      <x:c r="P36" s="1"/>
    </x:row>
    <x:row r="37" ht="22" customHeight="1">
      <x:c r="A37" s="1"/>
      <x:c r="B37" s="1"/>
      <x:c r="C37" s="1" t="str">
        <x:v>Day 4</x:v>
      </x:c>
      <x:c r="D37" s="1" t="str">
        <x:v>Maya frontage</x:v>
      </x:c>
      <x:c r="E37" s="1" t="str">
        <x:v>15:00–17:00</x:v>
      </x:c>
      <x:c r="F37" s="9"/>
      <x:c r="G37" s="9"/>
      <x:c r="H37" s="10"/>
      <x:c r="I37" s="9"/>
      <x:c r="J37" s="9"/>
      <x:c r="K37" s="8"/>
      <x:c r="L37" s="8"/>
      <x:c r="M37" s="1"/>
      <x:c r="N37" s="1"/>
      <x:c r="O37" s="1"/>
      <x:c r="P37" s="1"/>
    </x:row>
    <x:row r="38" ht="22" customHeight="1">
      <x:c r="A38" s="1"/>
      <x:c r="B38" s="1"/>
      <x:c r="C38" s="1" t="str">
        <x:v>Day 4</x:v>
      </x:c>
      <x:c r="D38" s="1" t="str">
        <x:v>Maya night pilot</x:v>
      </x:c>
      <x:c r="E38" s="1" t="str">
        <x:v>22:00–00:00</x:v>
      </x:c>
      <x:c r="F38" s="9"/>
      <x:c r="G38" s="9"/>
      <x:c r="H38" s="10"/>
      <x:c r="I38" s="9"/>
      <x:c r="J38" s="9"/>
      <x:c r="K38" s="8"/>
      <x:c r="L38" s="8"/>
      <x:c r="M38" s="1"/>
      <x:c r="N38" s="1"/>
      <x:c r="O38" s="1"/>
      <x:c r="P38" s="1"/>
    </x:row>
    <x:row r="39" ht="22" customHeight="1">
      <x:c r="A39" s="1"/>
      <x:c r="B39" s="1"/>
      <x:c r="C39" s="1" t="str">
        <x:v>Day 4</x:v>
      </x:c>
      <x:c r="D39" s="1" t="str">
        <x:v>Maya night pilot</x:v>
      </x:c>
      <x:c r="E39" s="1" t="str">
        <x:v>00:00–03:00</x:v>
      </x:c>
      <x:c r="F39" s="9"/>
      <x:c r="G39" s="9"/>
      <x:c r="H39" s="10"/>
      <x:c r="I39" s="9"/>
      <x:c r="J39" s="9"/>
      <x:c r="K39" s="8"/>
      <x:c r="L39" s="8"/>
      <x:c r="M39" s="1"/>
      <x:c r="N39" s="1"/>
      <x:c r="O39" s="1"/>
      <x:c r="P39" s="1"/>
    </x:row>
    <x:row r="40" ht="22" customHeight="1">
      <x:c r="A40" s="1"/>
      <x:c r="B40" s="1"/>
      <x:c r="C40" s="1" t="str">
        <x:v>Day 4</x:v>
      </x:c>
      <x:c r="D40" s="1" t="str">
        <x:v>Shady Pig exit</x:v>
      </x:c>
      <x:c r="E40" s="1" t="str">
        <x:v>Event close</x:v>
      </x:c>
      <x:c r="F40" s="9"/>
      <x:c r="G40" s="9"/>
      <x:c r="H40" s="10"/>
      <x:c r="I40" s="9"/>
      <x:c r="J40" s="9"/>
      <x:c r="K40" s="8"/>
      <x:c r="L40" s="8"/>
      <x:c r="M40" s="1"/>
      <x:c r="N40" s="1"/>
      <x:c r="O40" s="1"/>
      <x:c r="P40" s="1"/>
    </x:row>
    <x:row r="41" ht="22" customHeight="1">
      <x:c r="A41" s="1"/>
      <x:c r="B41" s="1"/>
      <x:c r="C41" s="1" t="str">
        <x:v>Day 4</x:v>
      </x:c>
      <x:c r="D41" s="1" t="str">
        <x:v>Vault exit</x:v>
      </x:c>
      <x:c r="E41" s="1" t="str">
        <x:v>Event close</x:v>
      </x:c>
      <x:c r="F41" s="9"/>
      <x:c r="G41" s="9"/>
      <x:c r="H41" s="10"/>
      <x:c r="I41" s="9"/>
      <x:c r="J41" s="9"/>
      <x:c r="K41" s="8"/>
      <x:c r="L41" s="8"/>
      <x:c r="M41" s="1"/>
      <x:c r="N41" s="1"/>
      <x:c r="O41" s="1"/>
      <x:c r="P41" s="1"/>
    </x:row>
    <x:row r="42" ht="22" customHeight="1">
      <x:c r="A42" s="1"/>
      <x:c r="B42" s="1"/>
      <x:c r="C42" s="1" t="str">
        <x:v>Day 4</x:v>
      </x:c>
      <x:c r="D42" s="1" t="str">
        <x:v>Mesa exit</x:v>
      </x:c>
      <x:c r="E42" s="1" t="str">
        <x:v>Event close</x:v>
      </x:c>
      <x:c r="F42" s="9"/>
      <x:c r="G42" s="9"/>
      <x:c r="H42" s="10"/>
      <x:c r="I42" s="9"/>
      <x:c r="J42" s="9"/>
      <x:c r="K42" s="8"/>
      <x:c r="L42" s="8"/>
      <x:c r="M42" s="1"/>
      <x:c r="N42" s="1"/>
      <x:c r="O42" s="1"/>
      <x:c r="P42" s="1"/>
    </x:row>
    <x:row r="43" ht="22" customHeight="1">
      <x:c r="A43" s="1"/>
      <x:c r="B43" s="1"/>
      <x:c r="C43" s="1" t="str">
        <x:v>Day 5</x:v>
      </x:c>
      <x:c r="D43" s="1" t="str">
        <x:v>Maya frontage</x:v>
      </x:c>
      <x:c r="E43" s="1" t="str">
        <x:v>07:00–10:00</x:v>
      </x:c>
      <x:c r="F43" s="9"/>
      <x:c r="G43" s="9"/>
      <x:c r="H43" s="10"/>
      <x:c r="I43" s="9"/>
      <x:c r="J43" s="9"/>
      <x:c r="K43" s="8"/>
      <x:c r="L43" s="8"/>
      <x:c r="M43" s="1"/>
      <x:c r="N43" s="1"/>
      <x:c r="O43" s="1"/>
      <x:c r="P43" s="1"/>
    </x:row>
    <x:row r="44" ht="22" customHeight="1">
      <x:c r="A44" s="1"/>
      <x:c r="B44" s="1"/>
      <x:c r="C44" s="1" t="str">
        <x:v>Day 5</x:v>
      </x:c>
      <x:c r="D44" s="1" t="str">
        <x:v>Maya frontage</x:v>
      </x:c>
      <x:c r="E44" s="1" t="str">
        <x:v>11:00–14:00</x:v>
      </x:c>
      <x:c r="F44" s="9"/>
      <x:c r="G44" s="9"/>
      <x:c r="H44" s="10"/>
      <x:c r="I44" s="9"/>
      <x:c r="J44" s="9"/>
      <x:c r="K44" s="8"/>
      <x:c r="L44" s="8"/>
      <x:c r="M44" s="1"/>
      <x:c r="N44" s="1"/>
      <x:c r="O44" s="1"/>
      <x:c r="P44" s="1"/>
    </x:row>
    <x:row r="45" ht="22" customHeight="1">
      <x:c r="A45" s="1"/>
      <x:c r="B45" s="1"/>
      <x:c r="C45" s="1" t="str">
        <x:v>Day 5</x:v>
      </x:c>
      <x:c r="D45" s="1" t="str">
        <x:v>Maya frontage</x:v>
      </x:c>
      <x:c r="E45" s="1" t="str">
        <x:v>15:00–17:00</x:v>
      </x:c>
      <x:c r="F45" s="9"/>
      <x:c r="G45" s="9"/>
      <x:c r="H45" s="10"/>
      <x:c r="I45" s="9"/>
      <x:c r="J45" s="9"/>
      <x:c r="K45" s="8"/>
      <x:c r="L45" s="8"/>
      <x:c r="M45" s="1"/>
      <x:c r="N45" s="1"/>
      <x:c r="O45" s="1"/>
      <x:c r="P45" s="1"/>
    </x:row>
    <x:row r="46" ht="22" customHeight="1">
      <x:c r="A46" s="1"/>
      <x:c r="B46" s="1"/>
      <x:c r="C46" s="1" t="str">
        <x:v>Day 5</x:v>
      </x:c>
      <x:c r="D46" s="1" t="str">
        <x:v>Maya night pilot</x:v>
      </x:c>
      <x:c r="E46" s="1" t="str">
        <x:v>22:00–00:00</x:v>
      </x:c>
      <x:c r="F46" s="9"/>
      <x:c r="G46" s="9"/>
      <x:c r="H46" s="10"/>
      <x:c r="I46" s="9"/>
      <x:c r="J46" s="9"/>
      <x:c r="K46" s="8"/>
      <x:c r="L46" s="8"/>
      <x:c r="M46" s="1"/>
      <x:c r="N46" s="1"/>
      <x:c r="O46" s="1"/>
      <x:c r="P46" s="1"/>
    </x:row>
    <x:row r="47" ht="22" customHeight="1">
      <x:c r="A47" s="1"/>
      <x:c r="B47" s="1"/>
      <x:c r="C47" s="1" t="str">
        <x:v>Day 5</x:v>
      </x:c>
      <x:c r="D47" s="1" t="str">
        <x:v>Maya night pilot</x:v>
      </x:c>
      <x:c r="E47" s="1" t="str">
        <x:v>00:00–03:00</x:v>
      </x:c>
      <x:c r="F47" s="9"/>
      <x:c r="G47" s="9"/>
      <x:c r="H47" s="10"/>
      <x:c r="I47" s="9"/>
      <x:c r="J47" s="9"/>
      <x:c r="K47" s="8"/>
      <x:c r="L47" s="8"/>
      <x:c r="M47" s="1"/>
      <x:c r="N47" s="1"/>
      <x:c r="O47" s="1"/>
      <x:c r="P47" s="1"/>
    </x:row>
    <x:row r="48" ht="22" customHeight="1">
      <x:c r="A48" s="1"/>
      <x:c r="B48" s="1"/>
      <x:c r="C48" s="1" t="str">
        <x:v>Day 5</x:v>
      </x:c>
      <x:c r="D48" s="1" t="str">
        <x:v>Shady Pig exit</x:v>
      </x:c>
      <x:c r="E48" s="1" t="str">
        <x:v>Event close</x:v>
      </x:c>
      <x:c r="F48" s="9"/>
      <x:c r="G48" s="9"/>
      <x:c r="H48" s="10"/>
      <x:c r="I48" s="9"/>
      <x:c r="J48" s="9"/>
      <x:c r="K48" s="8"/>
      <x:c r="L48" s="8"/>
      <x:c r="M48" s="1"/>
      <x:c r="N48" s="1"/>
      <x:c r="O48" s="1"/>
      <x:c r="P48" s="1"/>
    </x:row>
    <x:row r="49" ht="22" customHeight="1">
      <x:c r="A49" s="1"/>
      <x:c r="B49" s="1"/>
      <x:c r="C49" s="1" t="str">
        <x:v>Day 5</x:v>
      </x:c>
      <x:c r="D49" s="1" t="str">
        <x:v>Vault exit</x:v>
      </x:c>
      <x:c r="E49" s="1" t="str">
        <x:v>Event close</x:v>
      </x:c>
      <x:c r="F49" s="9"/>
      <x:c r="G49" s="9"/>
      <x:c r="H49" s="10"/>
      <x:c r="I49" s="9"/>
      <x:c r="J49" s="9"/>
      <x:c r="K49" s="8"/>
      <x:c r="L49" s="8"/>
      <x:c r="M49" s="1"/>
      <x:c r="N49" s="1"/>
      <x:c r="O49" s="1"/>
      <x:c r="P49" s="1"/>
    </x:row>
    <x:row r="50" ht="22" customHeight="1">
      <x:c r="A50" s="1"/>
      <x:c r="B50" s="1"/>
      <x:c r="C50" s="1" t="str">
        <x:v>Day 5</x:v>
      </x:c>
      <x:c r="D50" s="1" t="str">
        <x:v>Mesa exit</x:v>
      </x:c>
      <x:c r="E50" s="1" t="str">
        <x:v>Event close</x:v>
      </x:c>
      <x:c r="F50" s="9"/>
      <x:c r="G50" s="9"/>
      <x:c r="H50" s="10"/>
      <x:c r="I50" s="9"/>
      <x:c r="J50" s="9"/>
      <x:c r="K50" s="8"/>
      <x:c r="L50" s="8"/>
      <x:c r="M50" s="1"/>
      <x:c r="N50" s="1"/>
      <x:c r="O50" s="1"/>
      <x:c r="P50" s="1"/>
    </x:row>
    <x:row r="51" ht="22" customHeight="1">
      <x:c r="A51" s="1"/>
      <x:c r="B51" s="1"/>
      <x:c r="C51" s="1" t="str">
        <x:v>Day 6</x:v>
      </x:c>
      <x:c r="D51" s="1" t="str">
        <x:v>Maya frontage</x:v>
      </x:c>
      <x:c r="E51" s="1" t="str">
        <x:v>07:00–10:00</x:v>
      </x:c>
      <x:c r="F51" s="9"/>
      <x:c r="G51" s="9"/>
      <x:c r="H51" s="10"/>
      <x:c r="I51" s="9"/>
      <x:c r="J51" s="9"/>
      <x:c r="K51" s="8"/>
      <x:c r="L51" s="8"/>
      <x:c r="M51" s="1"/>
      <x:c r="N51" s="1"/>
      <x:c r="O51" s="1"/>
      <x:c r="P51" s="1"/>
    </x:row>
    <x:row r="52" ht="22" customHeight="1">
      <x:c r="A52" s="1"/>
      <x:c r="B52" s="1"/>
      <x:c r="C52" s="1" t="str">
        <x:v>Day 6</x:v>
      </x:c>
      <x:c r="D52" s="1" t="str">
        <x:v>Maya frontage</x:v>
      </x:c>
      <x:c r="E52" s="1" t="str">
        <x:v>11:00–14:00</x:v>
      </x:c>
      <x:c r="F52" s="9"/>
      <x:c r="G52" s="9"/>
      <x:c r="H52" s="10"/>
      <x:c r="I52" s="9"/>
      <x:c r="J52" s="9"/>
      <x:c r="K52" s="8"/>
      <x:c r="L52" s="8"/>
      <x:c r="M52" s="1"/>
      <x:c r="N52" s="1"/>
      <x:c r="O52" s="1"/>
      <x:c r="P52" s="1"/>
    </x:row>
    <x:row r="53" ht="22" customHeight="1">
      <x:c r="A53" s="1"/>
      <x:c r="B53" s="1"/>
      <x:c r="C53" s="1" t="str">
        <x:v>Day 6</x:v>
      </x:c>
      <x:c r="D53" s="1" t="str">
        <x:v>Maya frontage</x:v>
      </x:c>
      <x:c r="E53" s="1" t="str">
        <x:v>15:00–17:00</x:v>
      </x:c>
      <x:c r="F53" s="9"/>
      <x:c r="G53" s="9"/>
      <x:c r="H53" s="10"/>
      <x:c r="I53" s="9"/>
      <x:c r="J53" s="9"/>
      <x:c r="K53" s="8"/>
      <x:c r="L53" s="8"/>
      <x:c r="M53" s="1"/>
      <x:c r="N53" s="1"/>
      <x:c r="O53" s="1"/>
      <x:c r="P53" s="1"/>
    </x:row>
    <x:row r="54" ht="22" customHeight="1">
      <x:c r="A54" s="1"/>
      <x:c r="B54" s="1"/>
      <x:c r="C54" s="1" t="str">
        <x:v>Day 6</x:v>
      </x:c>
      <x:c r="D54" s="1" t="str">
        <x:v>Maya night pilot</x:v>
      </x:c>
      <x:c r="E54" s="1" t="str">
        <x:v>22:00–00:00</x:v>
      </x:c>
      <x:c r="F54" s="9"/>
      <x:c r="G54" s="9"/>
      <x:c r="H54" s="10"/>
      <x:c r="I54" s="9"/>
      <x:c r="J54" s="9"/>
      <x:c r="K54" s="8"/>
      <x:c r="L54" s="8"/>
      <x:c r="M54" s="1"/>
      <x:c r="N54" s="1"/>
      <x:c r="O54" s="1"/>
      <x:c r="P54" s="1"/>
    </x:row>
    <x:row r="55" ht="22" customHeight="1">
      <x:c r="A55" s="1"/>
      <x:c r="B55" s="1"/>
      <x:c r="C55" s="1" t="str">
        <x:v>Day 6</x:v>
      </x:c>
      <x:c r="D55" s="1" t="str">
        <x:v>Maya night pilot</x:v>
      </x:c>
      <x:c r="E55" s="1" t="str">
        <x:v>00:00–03:00</x:v>
      </x:c>
      <x:c r="F55" s="9"/>
      <x:c r="G55" s="9"/>
      <x:c r="H55" s="10"/>
      <x:c r="I55" s="9"/>
      <x:c r="J55" s="9"/>
      <x:c r="K55" s="8"/>
      <x:c r="L55" s="8"/>
      <x:c r="M55" s="1"/>
      <x:c r="N55" s="1"/>
      <x:c r="O55" s="1"/>
      <x:c r="P55" s="1"/>
    </x:row>
    <x:row r="56" ht="22" customHeight="1">
      <x:c r="A56" s="1"/>
      <x:c r="B56" s="1"/>
      <x:c r="C56" s="1" t="str">
        <x:v>Day 6</x:v>
      </x:c>
      <x:c r="D56" s="1" t="str">
        <x:v>Shady Pig exit</x:v>
      </x:c>
      <x:c r="E56" s="1" t="str">
        <x:v>Event close</x:v>
      </x:c>
      <x:c r="F56" s="9"/>
      <x:c r="G56" s="9"/>
      <x:c r="H56" s="10"/>
      <x:c r="I56" s="9"/>
      <x:c r="J56" s="9"/>
      <x:c r="K56" s="8"/>
      <x:c r="L56" s="8"/>
      <x:c r="M56" s="1"/>
      <x:c r="N56" s="1"/>
      <x:c r="O56" s="1"/>
      <x:c r="P56" s="1"/>
    </x:row>
    <x:row r="57" ht="22" customHeight="1">
      <x:c r="A57" s="1"/>
      <x:c r="B57" s="1"/>
      <x:c r="C57" s="1" t="str">
        <x:v>Day 6</x:v>
      </x:c>
      <x:c r="D57" s="1" t="str">
        <x:v>Vault exit</x:v>
      </x:c>
      <x:c r="E57" s="1" t="str">
        <x:v>Event close</x:v>
      </x:c>
      <x:c r="F57" s="9"/>
      <x:c r="G57" s="9"/>
      <x:c r="H57" s="10"/>
      <x:c r="I57" s="9"/>
      <x:c r="J57" s="9"/>
      <x:c r="K57" s="8"/>
      <x:c r="L57" s="8"/>
      <x:c r="M57" s="1"/>
      <x:c r="N57" s="1"/>
      <x:c r="O57" s="1"/>
      <x:c r="P57" s="1"/>
    </x:row>
    <x:row r="58" ht="22" customHeight="1">
      <x:c r="A58" s="1"/>
      <x:c r="B58" s="1"/>
      <x:c r="C58" s="1" t="str">
        <x:v>Day 6</x:v>
      </x:c>
      <x:c r="D58" s="1" t="str">
        <x:v>Mesa exit</x:v>
      </x:c>
      <x:c r="E58" s="1" t="str">
        <x:v>Event close</x:v>
      </x:c>
      <x:c r="F58" s="9"/>
      <x:c r="G58" s="9"/>
      <x:c r="H58" s="10"/>
      <x:c r="I58" s="9"/>
      <x:c r="J58" s="9"/>
      <x:c r="K58" s="8"/>
      <x:c r="L58" s="8"/>
      <x:c r="M58" s="1"/>
      <x:c r="N58" s="1"/>
      <x:c r="O58" s="1"/>
      <x:c r="P58" s="1"/>
    </x:row>
    <x:row r="59" ht="22" customHeight="1">
      <x:c r="A59" s="1"/>
      <x:c r="B59" s="1"/>
      <x:c r="C59" s="1" t="str">
        <x:v>Day 7</x:v>
      </x:c>
      <x:c r="D59" s="1" t="str">
        <x:v>Maya frontage</x:v>
      </x:c>
      <x:c r="E59" s="1" t="str">
        <x:v>07:00–10:00</x:v>
      </x:c>
      <x:c r="F59" s="9"/>
      <x:c r="G59" s="9"/>
      <x:c r="H59" s="10"/>
      <x:c r="I59" s="9"/>
      <x:c r="J59" s="9"/>
      <x:c r="K59" s="8"/>
      <x:c r="L59" s="8"/>
      <x:c r="M59" s="1"/>
      <x:c r="N59" s="1"/>
      <x:c r="O59" s="1"/>
      <x:c r="P59" s="1"/>
    </x:row>
    <x:row r="60" ht="22" customHeight="1">
      <x:c r="A60" s="1"/>
      <x:c r="B60" s="1"/>
      <x:c r="C60" s="1" t="str">
        <x:v>Day 7</x:v>
      </x:c>
      <x:c r="D60" s="1" t="str">
        <x:v>Maya frontage</x:v>
      </x:c>
      <x:c r="E60" s="1" t="str">
        <x:v>11:00–14:00</x:v>
      </x:c>
      <x:c r="F60" s="9"/>
      <x:c r="G60" s="9"/>
      <x:c r="H60" s="10"/>
      <x:c r="I60" s="9"/>
      <x:c r="J60" s="9"/>
      <x:c r="K60" s="8"/>
      <x:c r="L60" s="8"/>
      <x:c r="M60" s="1"/>
      <x:c r="N60" s="1"/>
      <x:c r="O60" s="1"/>
      <x:c r="P60" s="1"/>
    </x:row>
    <x:row r="61" ht="22" customHeight="1">
      <x:c r="A61" s="1"/>
      <x:c r="B61" s="1"/>
      <x:c r="C61" s="1" t="str">
        <x:v>Day 7</x:v>
      </x:c>
      <x:c r="D61" s="1" t="str">
        <x:v>Maya frontage</x:v>
      </x:c>
      <x:c r="E61" s="1" t="str">
        <x:v>15:00–17:00</x:v>
      </x:c>
      <x:c r="F61" s="9"/>
      <x:c r="G61" s="9"/>
      <x:c r="H61" s="10"/>
      <x:c r="I61" s="9"/>
      <x:c r="J61" s="9"/>
      <x:c r="K61" s="8"/>
      <x:c r="L61" s="8"/>
      <x:c r="M61" s="1"/>
      <x:c r="N61" s="1"/>
      <x:c r="O61" s="1"/>
      <x:c r="P61" s="1"/>
    </x:row>
    <x:row r="62" ht="22" customHeight="1">
      <x:c r="A62" s="1"/>
      <x:c r="B62" s="1"/>
      <x:c r="C62" s="1" t="str">
        <x:v>Day 7</x:v>
      </x:c>
      <x:c r="D62" s="1" t="str">
        <x:v>Maya night pilot</x:v>
      </x:c>
      <x:c r="E62" s="1" t="str">
        <x:v>22:00–00:00</x:v>
      </x:c>
      <x:c r="F62" s="9"/>
      <x:c r="G62" s="9"/>
      <x:c r="H62" s="10"/>
      <x:c r="I62" s="9"/>
      <x:c r="J62" s="9"/>
      <x:c r="K62" s="8"/>
      <x:c r="L62" s="8"/>
      <x:c r="M62" s="1"/>
      <x:c r="N62" s="1"/>
      <x:c r="O62" s="1"/>
      <x:c r="P62" s="1"/>
    </x:row>
    <x:row r="63" ht="22" customHeight="1">
      <x:c r="A63" s="1"/>
      <x:c r="B63" s="1"/>
      <x:c r="C63" s="1" t="str">
        <x:v>Day 7</x:v>
      </x:c>
      <x:c r="D63" s="1" t="str">
        <x:v>Maya night pilot</x:v>
      </x:c>
      <x:c r="E63" s="1" t="str">
        <x:v>00:00–03:00</x:v>
      </x:c>
      <x:c r="F63" s="9"/>
      <x:c r="G63" s="9"/>
      <x:c r="H63" s="10"/>
      <x:c r="I63" s="9"/>
      <x:c r="J63" s="9"/>
      <x:c r="K63" s="8"/>
      <x:c r="L63" s="8"/>
      <x:c r="M63" s="1"/>
      <x:c r="N63" s="1"/>
      <x:c r="O63" s="1"/>
      <x:c r="P63" s="1"/>
    </x:row>
    <x:row r="64" ht="22" customHeight="1">
      <x:c r="A64" s="1"/>
      <x:c r="B64" s="1"/>
      <x:c r="C64" s="1" t="str">
        <x:v>Day 7</x:v>
      </x:c>
      <x:c r="D64" s="1" t="str">
        <x:v>Shady Pig exit</x:v>
      </x:c>
      <x:c r="E64" s="1" t="str">
        <x:v>Event close</x:v>
      </x:c>
      <x:c r="F64" s="9"/>
      <x:c r="G64" s="9"/>
      <x:c r="H64" s="10"/>
      <x:c r="I64" s="9"/>
      <x:c r="J64" s="9"/>
      <x:c r="K64" s="8"/>
      <x:c r="L64" s="8"/>
      <x:c r="M64" s="1"/>
      <x:c r="N64" s="1"/>
      <x:c r="O64" s="1"/>
      <x:c r="P64" s="1"/>
    </x:row>
    <x:row r="65" ht="22" customHeight="1">
      <x:c r="A65" s="1"/>
      <x:c r="B65" s="1"/>
      <x:c r="C65" s="1" t="str">
        <x:v>Day 7</x:v>
      </x:c>
      <x:c r="D65" s="1" t="str">
        <x:v>Vault exit</x:v>
      </x:c>
      <x:c r="E65" s="1" t="str">
        <x:v>Event close</x:v>
      </x:c>
      <x:c r="F65" s="9"/>
      <x:c r="G65" s="9"/>
      <x:c r="H65" s="10"/>
      <x:c r="I65" s="9"/>
      <x:c r="J65" s="9"/>
      <x:c r="K65" s="8"/>
      <x:c r="L65" s="8"/>
      <x:c r="M65" s="1"/>
      <x:c r="N65" s="1"/>
      <x:c r="O65" s="1"/>
      <x:c r="P65" s="1"/>
    </x:row>
    <x:row r="66" ht="22" customHeight="1">
      <x:c r="A66" s="1"/>
      <x:c r="B66" s="1"/>
      <x:c r="C66" s="1" t="str">
        <x:v>Day 7</x:v>
      </x:c>
      <x:c r="D66" s="1" t="str">
        <x:v>Mesa exit</x:v>
      </x:c>
      <x:c r="E66" s="1" t="str">
        <x:v>Event close</x:v>
      </x:c>
      <x:c r="F66" s="9"/>
      <x:c r="G66" s="9"/>
      <x:c r="H66" s="10"/>
      <x:c r="I66" s="9"/>
      <x:c r="J66" s="9"/>
      <x:c r="K66" s="8"/>
      <x:c r="L66" s="8"/>
      <x:c r="M66" s="1"/>
      <x:c r="N66" s="1"/>
      <x:c r="O66" s="1"/>
      <x:c r="P66" s="1"/>
    </x:row>
    <x:row r="67" ht="22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</x:row>
    <x:row r="68" ht="22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</x:row>
    <x:row r="69" ht="22" customHeight="1">
      <x:c r="A69" s="1"/>
      <x:c r="B69" s="1"/>
      <x:c r="C69" s="1" t="str">
        <x:v>Count relevant people who can access the window, not vehicle traffic.</x:v>
      </x:c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</x:row>
    <x:row r="70" ht="22" customHeight="1">
      <x:c r="A70" s="1"/>
      <x:c r="B70" s="1"/>
      <x:c r="C70" s="1" t="str">
        <x:v>Do not add club-exit counts to frontage counts; the same people may recur.</x:v>
      </x:c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</x:row>
    <x:row r="71" ht="22" customHeight="1">
      <x:c r="A71" s="1"/>
      <x:c r="B71" s="1"/>
      <x:c r="C71" s="1" t="str">
        <x:v>Record paid orders, discounts, recipe cost, packaging and waste in POS daily.</x:v>
      </x:c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</x:row>
    <x:row r="72" ht="22" customHeight="1">
      <x:c r="A72" s="1"/>
      <x:c r="B72" s="1"/>
      <x:c r="C72" s="1" t="str">
        <x:v>Collect repeat purchases only with an opt-in anonymous customer code.</x:v>
      </x:c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</x:row>
    <x:row r="73" ht="22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</x:row>
    <x:row r="74" ht="22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</x:row>
    <x:row r="75" ht="25" customHeight="1">
      <x:c r="A75" s="1"/>
      <x:c r="B75" s="1"/>
      <x:c r="C75" s="13" t="str">
        <x:v>Independent model checks</x:v>
      </x:c>
      <x:c r="D75" s="13"/>
      <x:c r="E75" s="13"/>
      <x:c r="F75" s="13"/>
      <x:c r="G75" s="13"/>
      <x:c r="H75" s="1"/>
      <x:c r="I75" s="1"/>
      <x:c r="J75" s="1"/>
      <x:c r="K75" s="1"/>
      <x:c r="L75" s="1"/>
      <x:c r="M75" s="1"/>
      <x:c r="N75" s="1"/>
      <x:c r="O75" s="1"/>
      <x:c r="P75" s="1"/>
    </x:row>
    <x:row r="76" ht="22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</x:row>
    <x:row r="77" ht="22" customHeight="1">
      <x:c r="A77" s="1"/>
      <x:c r="B77" s="1"/>
      <x:c r="C77" s="1" t="str">
        <x:v>Day contribution reconciliation (IDR)</x:v>
      </x:c>
      <x:c r="D77" s="1"/>
      <x:c r="E77" s="1"/>
      <x:c r="F77" s="1"/>
      <x:c r="G77" s="57" t="n">
        <x:f>'Operations'!E18-'Operations'!E25-'Operations'!E27</x:f>
        <x:v>0</x:v>
      </x:c>
      <x:c r="H77" s="1"/>
      <x:c r="I77" s="1"/>
      <x:c r="J77" s="1"/>
      <x:c r="K77" s="1"/>
      <x:c r="L77" s="1"/>
      <x:c r="M77" s="1"/>
      <x:c r="N77" s="1"/>
      <x:c r="O77" s="1"/>
      <x:c r="P77" s="1"/>
    </x:row>
    <x:row r="78" ht="22" customHeight="1">
      <x:c r="A78" s="1"/>
      <x:c r="B78" s="1"/>
      <x:c r="C78" s="1" t="str">
        <x:v>Night contribution reconciliation (IDR)</x:v>
      </x:c>
      <x:c r="D78" s="1"/>
      <x:c r="E78" s="1"/>
      <x:c r="F78" s="1"/>
      <x:c r="G78" s="57" t="n">
        <x:f>'Operations'!F18-'Operations'!F25-'Operations'!F27</x:f>
        <x:v>0</x:v>
      </x:c>
      <x:c r="H78" s="1"/>
      <x:c r="I78" s="1"/>
      <x:c r="J78" s="1"/>
      <x:c r="K78" s="1"/>
      <x:c r="L78" s="1"/>
      <x:c r="M78" s="1"/>
      <x:c r="N78" s="1"/>
      <x:c r="O78" s="1"/>
      <x:c r="P78" s="1"/>
    </x:row>
    <x:row r="79" ht="22" customHeight="1">
      <x:c r="A79" s="1"/>
      <x:c r="B79" s="1"/>
      <x:c r="C79" s="1" t="str">
        <x:v>Cash after renewal equals economic surplus (IDR)</x:v>
      </x:c>
      <x:c r="D79" s="1"/>
      <x:c r="E79" s="1"/>
      <x:c r="F79" s="1"/>
      <x:c r="G79" s="57" t="n">
        <x:f>SUM('Cash flow'!E22:P22)-SUM('Cash flow'!E17:P17)</x:f>
        <x:v>0</x:v>
      </x:c>
      <x:c r="H79" s="1"/>
      <x:c r="I79" s="1"/>
      <x:c r="J79" s="1"/>
      <x:c r="K79" s="1"/>
      <x:c r="L79" s="1"/>
      <x:c r="M79" s="1"/>
      <x:c r="N79" s="1"/>
      <x:c r="O79" s="1"/>
      <x:c r="P79" s="1"/>
    </x:row>
    <x:row r="80" ht="22" customHeight="1">
      <x:c r="A80" s="1"/>
      <x:c r="B80" s="1"/>
      <x:c r="C80" s="1" t="str">
        <x:v>Month-12 free cash reconciliation (IDR)</x:v>
      </x:c>
      <x:c r="D80" s="1"/>
      <x:c r="E80" s="1"/>
      <x:c r="F80" s="1"/>
      <x:c r="G80" s="57" t="n">
        <x:f>'Cash flow'!P25-'Cash flow'!P26-'Cash flow'!P27</x:f>
        <x:v>0</x:v>
      </x:c>
      <x:c r="H80" s="1"/>
      <x:c r="I80" s="1"/>
      <x:c r="J80" s="1"/>
      <x:c r="K80" s="1"/>
      <x:c r="L80" s="1"/>
      <x:c r="M80" s="1"/>
      <x:c r="N80" s="1"/>
      <x:c r="O80" s="1"/>
      <x:c r="P80" s="1"/>
    </x:row>
    <x:row r="81" ht="22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</x:row>
    <x:row r="82" ht="22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</x:row>
    <x:row r="83" ht="22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</x:row>
    <x:row r="84" ht="25" customHeight="1">
      <x:c r="A84" s="1"/>
      <x:c r="B84" s="1"/>
      <x:c r="C84" s="13" t="str">
        <x:v>Paid pilot: transaction log (blank until observed)</x:v>
      </x:c>
      <x:c r="D84" s="13"/>
      <x:c r="E84" s="13"/>
      <x:c r="F84" s="13"/>
      <x:c r="G84" s="13"/>
      <x:c r="H84" s="13"/>
      <x:c r="I84" s="13"/>
      <x:c r="J84" s="13"/>
      <x:c r="K84" s="13"/>
      <x:c r="L84" s="13"/>
      <x:c r="M84" s="13"/>
      <x:c r="N84" s="13"/>
      <x:c r="O84" s="13"/>
      <x:c r="P84" s="13"/>
      <x:c r="Q84" s="51"/>
      <x:c r="R84" s="51"/>
      <x:c r="S84" s="51"/>
      <x:c r="T84" s="51"/>
      <x:c r="U84" s="51"/>
    </x:row>
    <x:row r="85" ht="22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</x:row>
    <x:row r="86" ht="42" customHeight="1">
      <x:c r="A86" s="1"/>
      <x:c r="B86" s="1"/>
      <x:c r="C86" s="21" t="str">
        <x:v>Date/time</x:v>
      </x:c>
      <x:c r="D86" s="21" t="str">
        <x:v>Channel</x:v>
      </x:c>
      <x:c r="E86" s="21" t="str">
        <x:v>Purchase type</x:v>
      </x:c>
      <x:c r="F86" s="21" t="str">
        <x:v>Menu total IDR</x:v>
      </x:c>
      <x:c r="G86" s="21" t="str">
        <x:v>Discount IDR</x:v>
      </x:c>
      <x:c r="H86" s="21" t="str">
        <x:v>Tax IDR</x:v>
      </x:c>
      <x:c r="I86" s="21" t="str">
        <x:v>Recipe IDR</x:v>
      </x:c>
      <x:c r="J86" s="21" t="str">
        <x:v>Waste IDR</x:v>
      </x:c>
      <x:c r="K86" s="21" t="str">
        <x:v>Pack IDR</x:v>
      </x:c>
      <x:c r="L86" s="21" t="str">
        <x:v>Fees IDR</x:v>
      </x:c>
      <x:c r="M86" s="21" t="str">
        <x:v>Net sales IDR</x:v>
      </x:c>
      <x:c r="N86" s="21" t="str">
        <x:v>Contribution IDR</x:v>
      </x:c>
      <x:c r="O86" s="21" t="str">
        <x:v>Order seconds</x:v>
      </x:c>
      <x:c r="P86" s="21" t="str">
        <x:v>Handoff minutes</x:v>
      </x:c>
      <x:c r="Q86" s="52" t="str">
        <x:v>30min quality</x:v>
      </x:c>
      <x:c r="R86" s="52" t="str">
        <x:v>Route obstruction</x:v>
      </x:c>
      <x:c r="S86" s="52" t="str">
        <x:v>Anonymous customer code</x:v>
      </x:c>
      <x:c r="T86" s="52" t="str">
        <x:v>Local / visitor</x:v>
      </x:c>
      <x:c r="U86" s="52" t="str">
        <x:v>First / repeat</x:v>
      </x:c>
    </x:row>
    <x:row r="87" ht="22" customHeight="1">
      <x:c r="A87" s="1"/>
      <x:c r="B87" s="1"/>
      <x:c r="C87" s="9"/>
      <x:c r="D87" s="9"/>
      <x:c r="E87" s="9"/>
      <x:c r="F87" s="10"/>
      <x:c r="G87" s="10"/>
      <x:c r="H87" s="10"/>
      <x:c r="I87" s="10"/>
      <x:c r="J87" s="10"/>
      <x:c r="K87" s="10"/>
      <x:c r="L87" s="10"/>
      <x:c r="M87" s="16" t="str">
        <x:f>IF(COUNT(F87:L87)=7,F87-G87-H87,"Enter all seven cost/receipt fields")</x:f>
        <x:v>Enter all seven cost/receipt fields</x:v>
      </x:c>
      <x:c r="N87" s="16" t="str">
        <x:f>IF(COUNT(F87:L87)=7,M87-SUM(I87:L87),"n.a.")</x:f>
        <x:v>n.a.</x:v>
      </x:c>
      <x:c r="O87" s="9"/>
      <x:c r="P87" s="9"/>
      <x:c r="Q87" s="54"/>
      <x:c r="R87" s="54"/>
      <x:c r="S87" s="54"/>
      <x:c r="T87" s="54"/>
      <x:c r="U87" s="54"/>
    </x:row>
    <x:row r="88" ht="22" customHeight="1">
      <x:c r="A88" s="1"/>
      <x:c r="B88" s="1"/>
      <x:c r="C88" s="9"/>
      <x:c r="D88" s="9"/>
      <x:c r="E88" s="9"/>
      <x:c r="F88" s="10"/>
      <x:c r="G88" s="10"/>
      <x:c r="H88" s="10"/>
      <x:c r="I88" s="10"/>
      <x:c r="J88" s="10"/>
      <x:c r="K88" s="10"/>
      <x:c r="L88" s="10"/>
      <x:c r="M88" s="16" t="str">
        <x:f>IF(COUNT(F88:L88)=7,F88-G88-H88,"Enter all seven cost/receipt fields")</x:f>
        <x:v>Enter all seven cost/receipt fields</x:v>
      </x:c>
      <x:c r="N88" s="16" t="str">
        <x:f>IF(COUNT(F88:L88)=7,M88-SUM(I88:L88),"n.a.")</x:f>
        <x:v>n.a.</x:v>
      </x:c>
      <x:c r="O88" s="9"/>
      <x:c r="P88" s="9"/>
      <x:c r="Q88" s="54"/>
      <x:c r="R88" s="54"/>
      <x:c r="S88" s="54"/>
      <x:c r="T88" s="54"/>
      <x:c r="U88" s="54"/>
    </x:row>
    <x:row r="89" ht="22" customHeight="1">
      <x:c r="A89" s="1"/>
      <x:c r="B89" s="1"/>
      <x:c r="C89" s="9"/>
      <x:c r="D89" s="9"/>
      <x:c r="E89" s="9"/>
      <x:c r="F89" s="10"/>
      <x:c r="G89" s="10"/>
      <x:c r="H89" s="10"/>
      <x:c r="I89" s="10"/>
      <x:c r="J89" s="10"/>
      <x:c r="K89" s="10"/>
      <x:c r="L89" s="10"/>
      <x:c r="M89" s="16" t="str">
        <x:f>IF(COUNT(F89:L89)=7,F89-G89-H89,"Enter all seven cost/receipt fields")</x:f>
        <x:v>Enter all seven cost/receipt fields</x:v>
      </x:c>
      <x:c r="N89" s="16" t="str">
        <x:f>IF(COUNT(F89:L89)=7,M89-SUM(I89:L89),"n.a.")</x:f>
        <x:v>n.a.</x:v>
      </x:c>
      <x:c r="O89" s="9"/>
      <x:c r="P89" s="9"/>
      <x:c r="Q89" s="54"/>
      <x:c r="R89" s="54"/>
      <x:c r="S89" s="54"/>
      <x:c r="T89" s="54"/>
      <x:c r="U89" s="54"/>
    </x:row>
    <x:row r="90" ht="22" customHeight="1">
      <x:c r="A90" s="1"/>
      <x:c r="B90" s="1"/>
      <x:c r="C90" s="9"/>
      <x:c r="D90" s="9"/>
      <x:c r="E90" s="9"/>
      <x:c r="F90" s="10"/>
      <x:c r="G90" s="10"/>
      <x:c r="H90" s="10"/>
      <x:c r="I90" s="10"/>
      <x:c r="J90" s="10"/>
      <x:c r="K90" s="10"/>
      <x:c r="L90" s="10"/>
      <x:c r="M90" s="16" t="str">
        <x:f>IF(COUNT(F90:L90)=7,F90-G90-H90,"Enter all seven cost/receipt fields")</x:f>
        <x:v>Enter all seven cost/receipt fields</x:v>
      </x:c>
      <x:c r="N90" s="16" t="str">
        <x:f>IF(COUNT(F90:L90)=7,M90-SUM(I90:L90),"n.a.")</x:f>
        <x:v>n.a.</x:v>
      </x:c>
      <x:c r="O90" s="9"/>
      <x:c r="P90" s="9"/>
      <x:c r="Q90" s="54"/>
      <x:c r="R90" s="54"/>
      <x:c r="S90" s="54"/>
      <x:c r="T90" s="54"/>
      <x:c r="U90" s="54"/>
    </x:row>
    <x:row r="91" ht="22" customHeight="1">
      <x:c r="A91" s="1"/>
      <x:c r="B91" s="1"/>
      <x:c r="C91" s="9"/>
      <x:c r="D91" s="9"/>
      <x:c r="E91" s="9"/>
      <x:c r="F91" s="10"/>
      <x:c r="G91" s="10"/>
      <x:c r="H91" s="10"/>
      <x:c r="I91" s="10"/>
      <x:c r="J91" s="10"/>
      <x:c r="K91" s="10"/>
      <x:c r="L91" s="10"/>
      <x:c r="M91" s="16" t="str">
        <x:f>IF(COUNT(F91:L91)=7,F91-G91-H91,"Enter all seven cost/receipt fields")</x:f>
        <x:v>Enter all seven cost/receipt fields</x:v>
      </x:c>
      <x:c r="N91" s="16" t="str">
        <x:f>IF(COUNT(F91:L91)=7,M91-SUM(I91:L91),"n.a.")</x:f>
        <x:v>n.a.</x:v>
      </x:c>
      <x:c r="O91" s="9"/>
      <x:c r="P91" s="9"/>
      <x:c r="Q91" s="54"/>
      <x:c r="R91" s="54"/>
      <x:c r="S91" s="54"/>
      <x:c r="T91" s="54"/>
      <x:c r="U91" s="54"/>
    </x:row>
    <x:row r="92" ht="22" customHeight="1">
      <x:c r="A92" s="1"/>
      <x:c r="B92" s="1"/>
      <x:c r="C92" s="9"/>
      <x:c r="D92" s="9"/>
      <x:c r="E92" s="9"/>
      <x:c r="F92" s="10"/>
      <x:c r="G92" s="10"/>
      <x:c r="H92" s="10"/>
      <x:c r="I92" s="10"/>
      <x:c r="J92" s="10"/>
      <x:c r="K92" s="10"/>
      <x:c r="L92" s="10"/>
      <x:c r="M92" s="16" t="str">
        <x:f>IF(COUNT(F92:L92)=7,F92-G92-H92,"Enter all seven cost/receipt fields")</x:f>
        <x:v>Enter all seven cost/receipt fields</x:v>
      </x:c>
      <x:c r="N92" s="16" t="str">
        <x:f>IF(COUNT(F92:L92)=7,M92-SUM(I92:L92),"n.a.")</x:f>
        <x:v>n.a.</x:v>
      </x:c>
      <x:c r="O92" s="9"/>
      <x:c r="P92" s="9"/>
      <x:c r="Q92" s="54"/>
      <x:c r="R92" s="54"/>
      <x:c r="S92" s="54"/>
      <x:c r="T92" s="54"/>
      <x:c r="U92" s="54"/>
    </x:row>
    <x:row r="93" ht="22" customHeight="1">
      <x:c r="A93" s="1"/>
      <x:c r="B93" s="1"/>
      <x:c r="C93" s="9"/>
      <x:c r="D93" s="9"/>
      <x:c r="E93" s="9"/>
      <x:c r="F93" s="10"/>
      <x:c r="G93" s="10"/>
      <x:c r="H93" s="10"/>
      <x:c r="I93" s="10"/>
      <x:c r="J93" s="10"/>
      <x:c r="K93" s="10"/>
      <x:c r="L93" s="10"/>
      <x:c r="M93" s="16" t="str">
        <x:f>IF(COUNT(F93:L93)=7,F93-G93-H93,"Enter all seven cost/receipt fields")</x:f>
        <x:v>Enter all seven cost/receipt fields</x:v>
      </x:c>
      <x:c r="N93" s="16" t="str">
        <x:f>IF(COUNT(F93:L93)=7,M93-SUM(I93:L93),"n.a.")</x:f>
        <x:v>n.a.</x:v>
      </x:c>
      <x:c r="O93" s="9"/>
      <x:c r="P93" s="9"/>
      <x:c r="Q93" s="54"/>
      <x:c r="R93" s="54"/>
      <x:c r="S93" s="54"/>
      <x:c r="T93" s="54"/>
      <x:c r="U93" s="54"/>
    </x:row>
    <x:row r="94" ht="22" customHeight="1">
      <x:c r="A94" s="1"/>
      <x:c r="B94" s="1"/>
      <x:c r="C94" s="9"/>
      <x:c r="D94" s="9"/>
      <x:c r="E94" s="9"/>
      <x:c r="F94" s="10"/>
      <x:c r="G94" s="10"/>
      <x:c r="H94" s="10"/>
      <x:c r="I94" s="10"/>
      <x:c r="J94" s="10"/>
      <x:c r="K94" s="10"/>
      <x:c r="L94" s="10"/>
      <x:c r="M94" s="16" t="str">
        <x:f>IF(COUNT(F94:L94)=7,F94-G94-H94,"Enter all seven cost/receipt fields")</x:f>
        <x:v>Enter all seven cost/receipt fields</x:v>
      </x:c>
      <x:c r="N94" s="16" t="str">
        <x:f>IF(COUNT(F94:L94)=7,M94-SUM(I94:L94),"n.a.")</x:f>
        <x:v>n.a.</x:v>
      </x:c>
      <x:c r="O94" s="9"/>
      <x:c r="P94" s="9"/>
      <x:c r="Q94" s="54"/>
      <x:c r="R94" s="54"/>
      <x:c r="S94" s="54"/>
      <x:c r="T94" s="54"/>
      <x:c r="U94" s="54"/>
    </x:row>
    <x:row r="95" ht="22" customHeight="1">
      <x:c r="A95" s="1"/>
      <x:c r="B95" s="1"/>
      <x:c r="C95" s="9"/>
      <x:c r="D95" s="9"/>
      <x:c r="E95" s="9"/>
      <x:c r="F95" s="10"/>
      <x:c r="G95" s="10"/>
      <x:c r="H95" s="10"/>
      <x:c r="I95" s="10"/>
      <x:c r="J95" s="10"/>
      <x:c r="K95" s="10"/>
      <x:c r="L95" s="10"/>
      <x:c r="M95" s="16" t="str">
        <x:f>IF(COUNT(F95:L95)=7,F95-G95-H95,"Enter all seven cost/receipt fields")</x:f>
        <x:v>Enter all seven cost/receipt fields</x:v>
      </x:c>
      <x:c r="N95" s="16" t="str">
        <x:f>IF(COUNT(F95:L95)=7,M95-SUM(I95:L95),"n.a.")</x:f>
        <x:v>n.a.</x:v>
      </x:c>
      <x:c r="O95" s="9"/>
      <x:c r="P95" s="9"/>
      <x:c r="Q95" s="54"/>
      <x:c r="R95" s="54"/>
      <x:c r="S95" s="54"/>
      <x:c r="T95" s="54"/>
      <x:c r="U95" s="54"/>
    </x:row>
    <x:row r="96" ht="22" customHeight="1">
      <x:c r="A96" s="1"/>
      <x:c r="B96" s="1"/>
      <x:c r="C96" s="9"/>
      <x:c r="D96" s="9"/>
      <x:c r="E96" s="9"/>
      <x:c r="F96" s="10"/>
      <x:c r="G96" s="10"/>
      <x:c r="H96" s="10"/>
      <x:c r="I96" s="10"/>
      <x:c r="J96" s="10"/>
      <x:c r="K96" s="10"/>
      <x:c r="L96" s="10"/>
      <x:c r="M96" s="16" t="str">
        <x:f>IF(COUNT(F96:L96)=7,F96-G96-H96,"Enter all seven cost/receipt fields")</x:f>
        <x:v>Enter all seven cost/receipt fields</x:v>
      </x:c>
      <x:c r="N96" s="16" t="str">
        <x:f>IF(COUNT(F96:L96)=7,M96-SUM(I96:L96),"n.a.")</x:f>
        <x:v>n.a.</x:v>
      </x:c>
      <x:c r="O96" s="9"/>
      <x:c r="P96" s="9"/>
      <x:c r="Q96" s="54"/>
      <x:c r="R96" s="54"/>
      <x:c r="S96" s="54"/>
      <x:c r="T96" s="54"/>
      <x:c r="U96" s="54"/>
    </x:row>
    <x:row r="97" ht="22" customHeight="1">
      <x:c r="A97" s="1"/>
      <x:c r="B97" s="1"/>
      <x:c r="C97" s="9"/>
      <x:c r="D97" s="9"/>
      <x:c r="E97" s="9"/>
      <x:c r="F97" s="10"/>
      <x:c r="G97" s="10"/>
      <x:c r="H97" s="10"/>
      <x:c r="I97" s="10"/>
      <x:c r="J97" s="10"/>
      <x:c r="K97" s="10"/>
      <x:c r="L97" s="10"/>
      <x:c r="M97" s="16" t="str">
        <x:f>IF(COUNT(F97:L97)=7,F97-G97-H97,"Enter all seven cost/receipt fields")</x:f>
        <x:v>Enter all seven cost/receipt fields</x:v>
      </x:c>
      <x:c r="N97" s="16" t="str">
        <x:f>IF(COUNT(F97:L97)=7,M97-SUM(I97:L97),"n.a.")</x:f>
        <x:v>n.a.</x:v>
      </x:c>
      <x:c r="O97" s="9"/>
      <x:c r="P97" s="9"/>
      <x:c r="Q97" s="54"/>
      <x:c r="R97" s="54"/>
      <x:c r="S97" s="54"/>
      <x:c r="T97" s="54"/>
      <x:c r="U97" s="54"/>
    </x:row>
    <x:row r="98" ht="22" customHeight="1">
      <x:c r="A98" s="1"/>
      <x:c r="B98" s="1"/>
      <x:c r="C98" s="9"/>
      <x:c r="D98" s="9"/>
      <x:c r="E98" s="9"/>
      <x:c r="F98" s="10"/>
      <x:c r="G98" s="10"/>
      <x:c r="H98" s="10"/>
      <x:c r="I98" s="10"/>
      <x:c r="J98" s="10"/>
      <x:c r="K98" s="10"/>
      <x:c r="L98" s="10"/>
      <x:c r="M98" s="16" t="str">
        <x:f>IF(COUNT(F98:L98)=7,F98-G98-H98,"Enter all seven cost/receipt fields")</x:f>
        <x:v>Enter all seven cost/receipt fields</x:v>
      </x:c>
      <x:c r="N98" s="16" t="str">
        <x:f>IF(COUNT(F98:L98)=7,M98-SUM(I98:L98),"n.a.")</x:f>
        <x:v>n.a.</x:v>
      </x:c>
      <x:c r="O98" s="9"/>
      <x:c r="P98" s="9"/>
      <x:c r="Q98" s="54"/>
      <x:c r="R98" s="54"/>
      <x:c r="S98" s="54"/>
      <x:c r="T98" s="54"/>
      <x:c r="U98" s="54"/>
    </x:row>
    <x:row r="99" ht="22" customHeight="1">
      <x:c r="A99" s="1"/>
      <x:c r="B99" s="1"/>
      <x:c r="C99" s="9"/>
      <x:c r="D99" s="9"/>
      <x:c r="E99" s="9"/>
      <x:c r="F99" s="10"/>
      <x:c r="G99" s="10"/>
      <x:c r="H99" s="10"/>
      <x:c r="I99" s="10"/>
      <x:c r="J99" s="10"/>
      <x:c r="K99" s="10"/>
      <x:c r="L99" s="10"/>
      <x:c r="M99" s="16" t="str">
        <x:f>IF(COUNT(F99:L99)=7,F99-G99-H99,"Enter all seven cost/receipt fields")</x:f>
        <x:v>Enter all seven cost/receipt fields</x:v>
      </x:c>
      <x:c r="N99" s="16" t="str">
        <x:f>IF(COUNT(F99:L99)=7,M99-SUM(I99:L99),"n.a.")</x:f>
        <x:v>n.a.</x:v>
      </x:c>
      <x:c r="O99" s="9"/>
      <x:c r="P99" s="9"/>
      <x:c r="Q99" s="54"/>
      <x:c r="R99" s="54"/>
      <x:c r="S99" s="54"/>
      <x:c r="T99" s="54"/>
      <x:c r="U99" s="54"/>
    </x:row>
    <x:row r="100" ht="22" customHeight="1">
      <x:c r="A100" s="1"/>
      <x:c r="B100" s="1"/>
      <x:c r="C100" s="9"/>
      <x:c r="D100" s="9"/>
      <x:c r="E100" s="9"/>
      <x:c r="F100" s="10"/>
      <x:c r="G100" s="10"/>
      <x:c r="H100" s="10"/>
      <x:c r="I100" s="10"/>
      <x:c r="J100" s="10"/>
      <x:c r="K100" s="10"/>
      <x:c r="L100" s="10"/>
      <x:c r="M100" s="16" t="str">
        <x:f>IF(COUNT(F100:L100)=7,F100-G100-H100,"Enter all seven cost/receipt fields")</x:f>
        <x:v>Enter all seven cost/receipt fields</x:v>
      </x:c>
      <x:c r="N100" s="16" t="str">
        <x:f>IF(COUNT(F100:L100)=7,M100-SUM(I100:L100),"n.a.")</x:f>
        <x:v>n.a.</x:v>
      </x:c>
      <x:c r="O100" s="9"/>
      <x:c r="P100" s="9"/>
      <x:c r="Q100" s="54"/>
      <x:c r="R100" s="54"/>
      <x:c r="S100" s="54"/>
      <x:c r="T100" s="54"/>
      <x:c r="U100" s="54"/>
    </x:row>
    <x:row r="101" ht="22" customHeight="1">
      <x:c r="A101" s="1"/>
      <x:c r="B101" s="1"/>
      <x:c r="C101" s="9"/>
      <x:c r="D101" s="9"/>
      <x:c r="E101" s="9"/>
      <x:c r="F101" s="10"/>
      <x:c r="G101" s="10"/>
      <x:c r="H101" s="10"/>
      <x:c r="I101" s="10"/>
      <x:c r="J101" s="10"/>
      <x:c r="K101" s="10"/>
      <x:c r="L101" s="10"/>
      <x:c r="M101" s="16" t="str">
        <x:f>IF(COUNT(F101:L101)=7,F101-G101-H101,"Enter all seven cost/receipt fields")</x:f>
        <x:v>Enter all seven cost/receipt fields</x:v>
      </x:c>
      <x:c r="N101" s="16" t="str">
        <x:f>IF(COUNT(F101:L101)=7,M101-SUM(I101:L101),"n.a.")</x:f>
        <x:v>n.a.</x:v>
      </x:c>
      <x:c r="O101" s="9"/>
      <x:c r="P101" s="9"/>
      <x:c r="Q101" s="54"/>
      <x:c r="R101" s="54"/>
      <x:c r="S101" s="54"/>
      <x:c r="T101" s="54"/>
      <x:c r="U101" s="54"/>
    </x:row>
    <x:row r="102" ht="22" customHeight="1">
      <x:c r="A102" s="1"/>
      <x:c r="B102" s="1"/>
      <x:c r="C102" s="9"/>
      <x:c r="D102" s="9"/>
      <x:c r="E102" s="9"/>
      <x:c r="F102" s="10"/>
      <x:c r="G102" s="10"/>
      <x:c r="H102" s="10"/>
      <x:c r="I102" s="10"/>
      <x:c r="J102" s="10"/>
      <x:c r="K102" s="10"/>
      <x:c r="L102" s="10"/>
      <x:c r="M102" s="16" t="str">
        <x:f>IF(COUNT(F102:L102)=7,F102-G102-H102,"Enter all seven cost/receipt fields")</x:f>
        <x:v>Enter all seven cost/receipt fields</x:v>
      </x:c>
      <x:c r="N102" s="16" t="str">
        <x:f>IF(COUNT(F102:L102)=7,M102-SUM(I102:L102),"n.a.")</x:f>
        <x:v>n.a.</x:v>
      </x:c>
      <x:c r="O102" s="9"/>
      <x:c r="P102" s="9"/>
      <x:c r="Q102" s="54"/>
      <x:c r="R102" s="54"/>
      <x:c r="S102" s="54"/>
      <x:c r="T102" s="54"/>
      <x:c r="U102" s="54"/>
    </x:row>
    <x:row r="103" ht="22" customHeight="1">
      <x:c r="A103" s="1"/>
      <x:c r="B103" s="1"/>
      <x:c r="C103" s="9"/>
      <x:c r="D103" s="9"/>
      <x:c r="E103" s="9"/>
      <x:c r="F103" s="10"/>
      <x:c r="G103" s="10"/>
      <x:c r="H103" s="10"/>
      <x:c r="I103" s="10"/>
      <x:c r="J103" s="10"/>
      <x:c r="K103" s="10"/>
      <x:c r="L103" s="10"/>
      <x:c r="M103" s="16" t="str">
        <x:f>IF(COUNT(F103:L103)=7,F103-G103-H103,"Enter all seven cost/receipt fields")</x:f>
        <x:v>Enter all seven cost/receipt fields</x:v>
      </x:c>
      <x:c r="N103" s="16" t="str">
        <x:f>IF(COUNT(F103:L103)=7,M103-SUM(I103:L103),"n.a.")</x:f>
        <x:v>n.a.</x:v>
      </x:c>
      <x:c r="O103" s="9"/>
      <x:c r="P103" s="9"/>
      <x:c r="Q103" s="54"/>
      <x:c r="R103" s="54"/>
      <x:c r="S103" s="54"/>
      <x:c r="T103" s="54"/>
      <x:c r="U103" s="54"/>
    </x:row>
    <x:row r="104" ht="22" customHeight="1">
      <x:c r="A104" s="1"/>
      <x:c r="B104" s="1"/>
      <x:c r="C104" s="9"/>
      <x:c r="D104" s="9"/>
      <x:c r="E104" s="9"/>
      <x:c r="F104" s="10"/>
      <x:c r="G104" s="10"/>
      <x:c r="H104" s="10"/>
      <x:c r="I104" s="10"/>
      <x:c r="J104" s="10"/>
      <x:c r="K104" s="10"/>
      <x:c r="L104" s="10"/>
      <x:c r="M104" s="16" t="str">
        <x:f>IF(COUNT(F104:L104)=7,F104-G104-H104,"Enter all seven cost/receipt fields")</x:f>
        <x:v>Enter all seven cost/receipt fields</x:v>
      </x:c>
      <x:c r="N104" s="16" t="str">
        <x:f>IF(COUNT(F104:L104)=7,M104-SUM(I104:L104),"n.a.")</x:f>
        <x:v>n.a.</x:v>
      </x:c>
      <x:c r="O104" s="9"/>
      <x:c r="P104" s="9"/>
      <x:c r="Q104" s="54"/>
      <x:c r="R104" s="54"/>
      <x:c r="S104" s="54"/>
      <x:c r="T104" s="54"/>
      <x:c r="U104" s="54"/>
    </x:row>
    <x:row r="105" ht="22" customHeight="1">
      <x:c r="A105" s="1"/>
      <x:c r="B105" s="1"/>
      <x:c r="C105" s="9"/>
      <x:c r="D105" s="9"/>
      <x:c r="E105" s="9"/>
      <x:c r="F105" s="10"/>
      <x:c r="G105" s="10"/>
      <x:c r="H105" s="10"/>
      <x:c r="I105" s="10"/>
      <x:c r="J105" s="10"/>
      <x:c r="K105" s="10"/>
      <x:c r="L105" s="10"/>
      <x:c r="M105" s="16" t="str">
        <x:f>IF(COUNT(F105:L105)=7,F105-G105-H105,"Enter all seven cost/receipt fields")</x:f>
        <x:v>Enter all seven cost/receipt fields</x:v>
      </x:c>
      <x:c r="N105" s="16" t="str">
        <x:f>IF(COUNT(F105:L105)=7,M105-SUM(I105:L105),"n.a.")</x:f>
        <x:v>n.a.</x:v>
      </x:c>
      <x:c r="O105" s="9"/>
      <x:c r="P105" s="9"/>
      <x:c r="Q105" s="54"/>
      <x:c r="R105" s="54"/>
      <x:c r="S105" s="54"/>
      <x:c r="T105" s="54"/>
      <x:c r="U105" s="54"/>
    </x:row>
    <x:row r="106" ht="22" customHeight="1">
      <x:c r="A106" s="1"/>
      <x:c r="B106" s="1"/>
      <x:c r="C106" s="9"/>
      <x:c r="D106" s="9"/>
      <x:c r="E106" s="9"/>
      <x:c r="F106" s="10"/>
      <x:c r="G106" s="10"/>
      <x:c r="H106" s="10"/>
      <x:c r="I106" s="10"/>
      <x:c r="J106" s="10"/>
      <x:c r="K106" s="10"/>
      <x:c r="L106" s="10"/>
      <x:c r="M106" s="16" t="str">
        <x:f>IF(COUNT(F106:L106)=7,F106-G106-H106,"Enter all seven cost/receipt fields")</x:f>
        <x:v>Enter all seven cost/receipt fields</x:v>
      </x:c>
      <x:c r="N106" s="16" t="str">
        <x:f>IF(COUNT(F106:L106)=7,M106-SUM(I106:L106),"n.a.")</x:f>
        <x:v>n.a.</x:v>
      </x:c>
      <x:c r="O106" s="9"/>
      <x:c r="P106" s="9"/>
      <x:c r="Q106" s="54"/>
      <x:c r="R106" s="54"/>
      <x:c r="S106" s="54"/>
      <x:c r="T106" s="54"/>
      <x:c r="U106" s="54"/>
    </x:row>
    <x:row r="107" ht="22" customHeight="1">
      <x:c r="A107" s="1"/>
      <x:c r="B107" s="1"/>
      <x:c r="C107" s="9"/>
      <x:c r="D107" s="9"/>
      <x:c r="E107" s="9"/>
      <x:c r="F107" s="10"/>
      <x:c r="G107" s="10"/>
      <x:c r="H107" s="10"/>
      <x:c r="I107" s="10"/>
      <x:c r="J107" s="10"/>
      <x:c r="K107" s="10"/>
      <x:c r="L107" s="10"/>
      <x:c r="M107" s="16" t="str">
        <x:f>IF(COUNT(F107:L107)=7,F107-G107-H107,"Enter all seven cost/receipt fields")</x:f>
        <x:v>Enter all seven cost/receipt fields</x:v>
      </x:c>
      <x:c r="N107" s="16" t="str">
        <x:f>IF(COUNT(F107:L107)=7,M107-SUM(I107:L107),"n.a.")</x:f>
        <x:v>n.a.</x:v>
      </x:c>
      <x:c r="O107" s="9"/>
      <x:c r="P107" s="9"/>
      <x:c r="Q107" s="54"/>
      <x:c r="R107" s="54"/>
      <x:c r="S107" s="54"/>
      <x:c r="T107" s="54"/>
      <x:c r="U107" s="54"/>
    </x:row>
    <x:row r="108" ht="22" customHeight="1">
      <x:c r="A108" s="1"/>
      <x:c r="B108" s="1"/>
      <x:c r="C108" s="9"/>
      <x:c r="D108" s="9"/>
      <x:c r="E108" s="9"/>
      <x:c r="F108" s="10"/>
      <x:c r="G108" s="10"/>
      <x:c r="H108" s="10"/>
      <x:c r="I108" s="10"/>
      <x:c r="J108" s="10"/>
      <x:c r="K108" s="10"/>
      <x:c r="L108" s="10"/>
      <x:c r="M108" s="16" t="str">
        <x:f>IF(COUNT(F108:L108)=7,F108-G108-H108,"Enter all seven cost/receipt fields")</x:f>
        <x:v>Enter all seven cost/receipt fields</x:v>
      </x:c>
      <x:c r="N108" s="16" t="str">
        <x:f>IF(COUNT(F108:L108)=7,M108-SUM(I108:L108),"n.a.")</x:f>
        <x:v>n.a.</x:v>
      </x:c>
      <x:c r="O108" s="9"/>
      <x:c r="P108" s="9"/>
      <x:c r="Q108" s="54"/>
      <x:c r="R108" s="54"/>
      <x:c r="S108" s="54"/>
      <x:c r="T108" s="54"/>
      <x:c r="U108" s="54"/>
    </x:row>
    <x:row r="109" ht="22" customHeight="1">
      <x:c r="A109" s="1"/>
      <x:c r="B109" s="1"/>
      <x:c r="C109" s="9"/>
      <x:c r="D109" s="9"/>
      <x:c r="E109" s="9"/>
      <x:c r="F109" s="10"/>
      <x:c r="G109" s="10"/>
      <x:c r="H109" s="10"/>
      <x:c r="I109" s="10"/>
      <x:c r="J109" s="10"/>
      <x:c r="K109" s="10"/>
      <x:c r="L109" s="10"/>
      <x:c r="M109" s="16" t="str">
        <x:f>IF(COUNT(F109:L109)=7,F109-G109-H109,"Enter all seven cost/receipt fields")</x:f>
        <x:v>Enter all seven cost/receipt fields</x:v>
      </x:c>
      <x:c r="N109" s="16" t="str">
        <x:f>IF(COUNT(F109:L109)=7,M109-SUM(I109:L109),"n.a.")</x:f>
        <x:v>n.a.</x:v>
      </x:c>
      <x:c r="O109" s="9"/>
      <x:c r="P109" s="9"/>
      <x:c r="Q109" s="54"/>
      <x:c r="R109" s="54"/>
      <x:c r="S109" s="54"/>
      <x:c r="T109" s="54"/>
      <x:c r="U109" s="54"/>
    </x:row>
    <x:row r="110" ht="22" customHeight="1">
      <x:c r="A110" s="1"/>
      <x:c r="B110" s="1"/>
      <x:c r="C110" s="9"/>
      <x:c r="D110" s="9"/>
      <x:c r="E110" s="9"/>
      <x:c r="F110" s="10"/>
      <x:c r="G110" s="10"/>
      <x:c r="H110" s="10"/>
      <x:c r="I110" s="10"/>
      <x:c r="J110" s="10"/>
      <x:c r="K110" s="10"/>
      <x:c r="L110" s="10"/>
      <x:c r="M110" s="16" t="str">
        <x:f>IF(COUNT(F110:L110)=7,F110-G110-H110,"Enter all seven cost/receipt fields")</x:f>
        <x:v>Enter all seven cost/receipt fields</x:v>
      </x:c>
      <x:c r="N110" s="16" t="str">
        <x:f>IF(COUNT(F110:L110)=7,M110-SUM(I110:L110),"n.a.")</x:f>
        <x:v>n.a.</x:v>
      </x:c>
      <x:c r="O110" s="9"/>
      <x:c r="P110" s="9"/>
      <x:c r="Q110" s="54"/>
      <x:c r="R110" s="54"/>
      <x:c r="S110" s="54"/>
      <x:c r="T110" s="54"/>
      <x:c r="U110" s="54"/>
    </x:row>
    <x:row r="111" ht="22" customHeight="1">
      <x:c r="A111" s="1"/>
      <x:c r="B111" s="1"/>
      <x:c r="C111" s="9"/>
      <x:c r="D111" s="9"/>
      <x:c r="E111" s="9"/>
      <x:c r="F111" s="10"/>
      <x:c r="G111" s="10"/>
      <x:c r="H111" s="10"/>
      <x:c r="I111" s="10"/>
      <x:c r="J111" s="10"/>
      <x:c r="K111" s="10"/>
      <x:c r="L111" s="10"/>
      <x:c r="M111" s="16" t="str">
        <x:f>IF(COUNT(F111:L111)=7,F111-G111-H111,"Enter all seven cost/receipt fields")</x:f>
        <x:v>Enter all seven cost/receipt fields</x:v>
      </x:c>
      <x:c r="N111" s="16" t="str">
        <x:f>IF(COUNT(F111:L111)=7,M111-SUM(I111:L111),"n.a.")</x:f>
        <x:v>n.a.</x:v>
      </x:c>
      <x:c r="O111" s="9"/>
      <x:c r="P111" s="9"/>
      <x:c r="Q111" s="54"/>
      <x:c r="R111" s="54"/>
      <x:c r="S111" s="54"/>
      <x:c r="T111" s="54"/>
      <x:c r="U111" s="54"/>
    </x:row>
    <x:row r="112" ht="22" customHeight="1">
      <x:c r="A112" s="1"/>
      <x:c r="B112" s="1"/>
      <x:c r="C112" s="9"/>
      <x:c r="D112" s="9"/>
      <x:c r="E112" s="9"/>
      <x:c r="F112" s="10"/>
      <x:c r="G112" s="10"/>
      <x:c r="H112" s="10"/>
      <x:c r="I112" s="10"/>
      <x:c r="J112" s="10"/>
      <x:c r="K112" s="10"/>
      <x:c r="L112" s="10"/>
      <x:c r="M112" s="16" t="str">
        <x:f>IF(COUNT(F112:L112)=7,F112-G112-H112,"Enter all seven cost/receipt fields")</x:f>
        <x:v>Enter all seven cost/receipt fields</x:v>
      </x:c>
      <x:c r="N112" s="16" t="str">
        <x:f>IF(COUNT(F112:L112)=7,M112-SUM(I112:L112),"n.a.")</x:f>
        <x:v>n.a.</x:v>
      </x:c>
      <x:c r="O112" s="9"/>
      <x:c r="P112" s="9"/>
      <x:c r="Q112" s="54"/>
      <x:c r="R112" s="54"/>
      <x:c r="S112" s="54"/>
      <x:c r="T112" s="54"/>
      <x:c r="U112" s="54"/>
    </x:row>
    <x:row r="113" ht="22" customHeight="1">
      <x:c r="A113" s="1"/>
      <x:c r="B113" s="1"/>
      <x:c r="C113" s="9"/>
      <x:c r="D113" s="9"/>
      <x:c r="E113" s="9"/>
      <x:c r="F113" s="10"/>
      <x:c r="G113" s="10"/>
      <x:c r="H113" s="10"/>
      <x:c r="I113" s="10"/>
      <x:c r="J113" s="10"/>
      <x:c r="K113" s="10"/>
      <x:c r="L113" s="10"/>
      <x:c r="M113" s="16" t="str">
        <x:f>IF(COUNT(F113:L113)=7,F113-G113-H113,"Enter all seven cost/receipt fields")</x:f>
        <x:v>Enter all seven cost/receipt fields</x:v>
      </x:c>
      <x:c r="N113" s="16" t="str">
        <x:f>IF(COUNT(F113:L113)=7,M113-SUM(I113:L113),"n.a.")</x:f>
        <x:v>n.a.</x:v>
      </x:c>
      <x:c r="O113" s="9"/>
      <x:c r="P113" s="9"/>
      <x:c r="Q113" s="54"/>
      <x:c r="R113" s="54"/>
      <x:c r="S113" s="54"/>
      <x:c r="T113" s="54"/>
      <x:c r="U113" s="54"/>
    </x:row>
    <x:row r="114" ht="22" customHeight="1">
      <x:c r="A114" s="1"/>
      <x:c r="B114" s="1"/>
      <x:c r="C114" s="9"/>
      <x:c r="D114" s="9"/>
      <x:c r="E114" s="9"/>
      <x:c r="F114" s="10"/>
      <x:c r="G114" s="10"/>
      <x:c r="H114" s="10"/>
      <x:c r="I114" s="10"/>
      <x:c r="J114" s="10"/>
      <x:c r="K114" s="10"/>
      <x:c r="L114" s="10"/>
      <x:c r="M114" s="16" t="str">
        <x:f>IF(COUNT(F114:L114)=7,F114-G114-H114,"Enter all seven cost/receipt fields")</x:f>
        <x:v>Enter all seven cost/receipt fields</x:v>
      </x:c>
      <x:c r="N114" s="16" t="str">
        <x:f>IF(COUNT(F114:L114)=7,M114-SUM(I114:L114),"n.a.")</x:f>
        <x:v>n.a.</x:v>
      </x:c>
      <x:c r="O114" s="9"/>
      <x:c r="P114" s="9"/>
      <x:c r="Q114" s="54"/>
      <x:c r="R114" s="54"/>
      <x:c r="S114" s="54"/>
      <x:c r="T114" s="54"/>
      <x:c r="U114" s="54"/>
    </x:row>
    <x:row r="115" ht="22" customHeight="1">
      <x:c r="A115" s="1"/>
      <x:c r="B115" s="1"/>
      <x:c r="C115" s="9"/>
      <x:c r="D115" s="9"/>
      <x:c r="E115" s="9"/>
      <x:c r="F115" s="10"/>
      <x:c r="G115" s="10"/>
      <x:c r="H115" s="10"/>
      <x:c r="I115" s="10"/>
      <x:c r="J115" s="10"/>
      <x:c r="K115" s="10"/>
      <x:c r="L115" s="10"/>
      <x:c r="M115" s="16" t="str">
        <x:f>IF(COUNT(F115:L115)=7,F115-G115-H115,"Enter all seven cost/receipt fields")</x:f>
        <x:v>Enter all seven cost/receipt fields</x:v>
      </x:c>
      <x:c r="N115" s="16" t="str">
        <x:f>IF(COUNT(F115:L115)=7,M115-SUM(I115:L115),"n.a.")</x:f>
        <x:v>n.a.</x:v>
      </x:c>
      <x:c r="O115" s="9"/>
      <x:c r="P115" s="9"/>
      <x:c r="Q115" s="54"/>
      <x:c r="R115" s="54"/>
      <x:c r="S115" s="54"/>
      <x:c r="T115" s="54"/>
      <x:c r="U115" s="54"/>
    </x:row>
    <x:row r="116" ht="22" customHeight="1">
      <x:c r="A116" s="1"/>
      <x:c r="B116" s="1"/>
      <x:c r="C116" s="9"/>
      <x:c r="D116" s="9"/>
      <x:c r="E116" s="9"/>
      <x:c r="F116" s="10"/>
      <x:c r="G116" s="10"/>
      <x:c r="H116" s="10"/>
      <x:c r="I116" s="10"/>
      <x:c r="J116" s="10"/>
      <x:c r="K116" s="10"/>
      <x:c r="L116" s="10"/>
      <x:c r="M116" s="16" t="str">
        <x:f>IF(COUNT(F116:L116)=7,F116-G116-H116,"Enter all seven cost/receipt fields")</x:f>
        <x:v>Enter all seven cost/receipt fields</x:v>
      </x:c>
      <x:c r="N116" s="16" t="str">
        <x:f>IF(COUNT(F116:L116)=7,M116-SUM(I116:L116),"n.a.")</x:f>
        <x:v>n.a.</x:v>
      </x:c>
      <x:c r="O116" s="9"/>
      <x:c r="P116" s="9"/>
      <x:c r="Q116" s="54"/>
      <x:c r="R116" s="54"/>
      <x:c r="S116" s="54"/>
      <x:c r="T116" s="54"/>
      <x:c r="U116" s="54"/>
    </x:row>
    <x:row r="117" ht="22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</x:row>
    <x:row r="118" ht="22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</x:row>
    <x:row r="119" ht="22" customHeight="1">
      <x:c r="A119" s="1"/>
      <x:c r="B119" s="1"/>
      <x:c r="C119" s="1" t="str">
        <x:v>Enter zero explicitly for no discount / waste / fee. Enter actual tax on the receipt.</x:v>
      </x:c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</x:row>
    <x:row r="120" ht="22" customHeight="1">
      <x:c r="A120" s="1"/>
      <x:c r="B120" s="1"/>
      <x:c r="C120" s="1" t="str">
        <x:v>Repeat screen: opt-in local first buyers days1–14, observed again by day28; visitors separate.</x:v>
      </x:c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</x:row>
    <x:row r="121" ht="22" customHeight="1">
      <x:c r="A121" s="1"/>
      <x:c r="B121" s="1"/>
      <x:c r="C121" s="1" t="str">
        <x:v>Targets: ordering &lt;60sec; P90 food handoff &lt;=8min; acceptable after30min packaged.</x:v>
      </x:c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</x:row>
    <x:row r="122" ht="22" customHeight="1">
      <x:c r="A122" s="1"/>
      <x:c r="B122" s="1"/>
      <x:c r="C122" s="1" t="str">
        <x:v>Investment screen: measured daily contribution &gt;= fixed/day with an explicit error buffer.</x:v>
      </x:c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</x:row>
    <x:row r="123" ht="22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</x:row>
    <x:row r="124" ht="22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</x:row>
    <x:row r="125" ht="22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</x:row>
    <x:row r="126" ht="22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</x:row>
    <x:row r="127" ht="22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</x:row>
    <x:row r="128" ht="22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</x:row>
    <x:row r="129" ht="22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</x:row>
    <x:row r="130" ht="22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</x:row>
    <x:row r="131" ht="22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</x:row>
    <x:row r="132" ht="22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</x:row>
    <x:row r="133" ht="22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</x:row>
    <x:row r="134" ht="22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</x:row>
    <x:row r="135" ht="22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</x:row>
    <x:row r="136" ht="22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</x:row>
    <x:row r="137" ht="22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</x:row>
    <x:row r="138" ht="22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</x:row>
    <x:row r="139" ht="22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</x:row>
    <x:row r="140" ht="22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</x:row>
    <x:row r="141" ht="22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</x:row>
    <x:row r="142" ht="22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</x:row>
    <x:row r="143" ht="22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</x:row>
    <x:row r="144" ht="22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</x:row>
    <x:row r="145" ht="22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</x:row>
    <x:row r="146" ht="22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</x:row>
    <x:row r="147" ht="22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</x:row>
    <x:row r="148" ht="22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</x:row>
    <x:row r="149" ht="22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</x:row>
    <x:row r="150" ht="22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</x:row>
    <x:row r="151" ht="22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</x:row>
    <x:row r="152" ht="22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</x:row>
    <x:row r="153" ht="22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</x:row>
    <x:row r="154" ht="22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</x:row>
    <x:row r="155" ht="22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</x:row>
    <x:row r="156" ht="22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</x:row>
    <x:row r="157" ht="22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</x:row>
    <x:row r="158" ht="22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</x:row>
    <x:row r="159" ht="22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</x:row>
    <x:row r="160" ht="22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</x:row>
    <x:row r="161" ht="22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</x:row>
    <x:row r="162" ht="22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</x:row>
    <x:row r="163" ht="22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</x:row>
    <x:row r="164" ht="22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</x:row>
    <x:row r="165" ht="22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</x:row>
    <x:row r="166" ht="22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</x:row>
    <x:row r="167" ht="22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</x:row>
    <x:row r="168" ht="22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</x:row>
    <x:row r="169" ht="22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</x:row>
    <x:row r="170" ht="22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</x:row>
    <x:row r="171" ht="22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</x:row>
    <x:row r="172" ht="22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</x:row>
    <x:row r="173" ht="22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</x:row>
    <x:row r="174" ht="22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</x:row>
    <x:row r="175" ht="22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</x:row>
    <x:row r="176" ht="22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</x:row>
    <x:row r="177" ht="22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</x:row>
    <x:row r="178" ht="22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</x:row>
    <x:row r="179" ht="22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</x:row>
    <x:row r="180" ht="22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</x:row>
    <x:row r="181" ht="22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</x:row>
    <x:row r="182" ht="22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</x:row>
    <x:row r="183" ht="22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</x:row>
    <x:row r="184" ht="22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</x:row>
    <x:row r="185" ht="22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</x:row>
    <x:row r="186" ht="22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</x:row>
    <x:row r="187" ht="22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</x:row>
    <x:row r="188" ht="22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</x:row>
    <x:row r="189" ht="22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</x:row>
    <x:row r="190" ht="22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</x:row>
  </x:sheetData>
  <x:conditionalFormatting sqref="G77:G80">
    <x:cfRule type="cellIs" dxfId="3" priority="1" operator="notEqual">
      <x:formula>0</x:formula>
    </x:cfRule>
  </x:conditionalFormatting>
  <x:dataValidations count="2">
    <x:dataValidation type="list" sqref="D87:D116">
      <x:formula1>"Dine-in,Takeaway,Delivery"</x:formula1>
    </x:dataValidation>
    <x:dataValidation type="list" sqref="E87:E116">
      <x:formula1>"Beverage only,Sandwich only,Sandwich + drink,Beverage + pastry"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39" hidden="0" customWidth="1"/>
    <x:col min="4" max="4" width="2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24" hidden="0" customWidth="1"/>
    <x:col min="10" max="10" width="24" hidden="0" customWidth="1"/>
    <x:col min="11" max="11" width="29" hidden="0" customWidth="1"/>
    <x:col min="12" max="12" width="29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2" customHeight="1">
      <x:c r="A2" s="1"/>
      <x:c r="B2" s="1"/>
      <x:c r="C2" s="2" t="str">
        <x:v>Maya Berawa · Menu costing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2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2" customHeight="1">
      <x:c r="A4" s="1"/>
      <x:c r="B4" s="1"/>
      <x:c r="C4" s="1" t="str">
        <x:v>Case selected</x:v>
      </x:c>
      <x:c r="D4" s="1"/>
      <x:c r="E4" s="5" t="str">
        <x:f>'Inputs'!G4</x:f>
        <x:v>Base</x:v>
      </x:c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35" customHeight="1">
      <x:c r="A6" s="1"/>
      <x:c r="B6" s="1"/>
      <x:c r="C6" s="21" t="str">
        <x:v>Signature sandwich</x:v>
      </x:c>
      <x:c r="D6" s="21" t="str">
        <x:v>Final direct price</x:v>
      </x:c>
      <x:c r="E6" s="21" t="str">
        <x:v>Sales mix</x:v>
      </x:c>
      <x:c r="F6" s="21" t="str">
        <x:v>Recipe cost</x:v>
      </x:c>
      <x:c r="G6" s="21" t="str">
        <x:v>Ex-tax revenue</x:v>
      </x:c>
      <x:c r="H6" s="21" t="str">
        <x:v>Recipe margin</x:v>
      </x:c>
      <x:c r="I6" s="21" t="str">
        <x:v>Bread</x:v>
      </x:c>
      <x:c r="J6" s="21" t="str">
        <x:v>Compatible alternative</x:v>
      </x:c>
      <x:c r="K6" s="21" t="str">
        <x:v>Signature sauce</x:v>
      </x:c>
      <x:c r="L6" s="1"/>
      <x:c r="M6" s="1"/>
      <x:c r="N6" s="1"/>
      <x:c r="O6" s="1"/>
      <x:c r="P6" s="1"/>
    </x:row>
    <x:row r="7" ht="22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38" customHeight="1">
      <x:c r="A8" s="1"/>
      <x:c r="B8" s="1"/>
      <x:c r="C8" s="26" t="str">
        <x:v>Japanese egg sando</x:v>
      </x:c>
      <x:c r="D8" s="10" t="n">
        <x:v>75000</x:v>
      </x:c>
      <x:c r="E8" s="11" t="n">
        <x:v>0.2</x:v>
      </x:c>
      <x:c r="F8" s="22" t="n">
        <x:f>SUM(K28:K31)</x:f>
        <x:v>19944.444444444445</x:v>
      </x:c>
      <x:c r="G8" s="23" t="n">
        <x:f>D8/(1+'Inputs'!$E$17)</x:f>
        <x:v>68181.81818181818</x:v>
      </x:c>
      <x:c r="H8" s="25" t="n">
        <x:f>1-F8/G8</x:f>
        <x:v>0.7074814814814814</x:v>
      </x:c>
      <x:c r="I8" s="1" t="str">
        <x:v>Shokupan</x:v>
      </x:c>
      <x:c r="J8" s="1" t="str">
        <x:v>Baguette</x:v>
      </x:c>
      <x:c r="K8" s="1" t="str">
        <x:v>Japanese mayo</x:v>
      </x:c>
      <x:c r="L8" s="1"/>
      <x:c r="M8" s="1"/>
      <x:c r="N8" s="1"/>
      <x:c r="O8" s="1"/>
      <x:c r="P8" s="1"/>
    </x:row>
    <x:row r="9" ht="38" customHeight="1">
      <x:c r="A9" s="1"/>
      <x:c r="B9" s="1"/>
      <x:c r="C9" s="26" t="str">
        <x:v>Vietnamese-inspired chicken bánh mì</x:v>
      </x:c>
      <x:c r="D9" s="10" t="n">
        <x:v>95000</x:v>
      </x:c>
      <x:c r="E9" s="11" t="n">
        <x:v>0.25</x:v>
      </x:c>
      <x:c r="F9" s="22" t="n">
        <x:f>SUM(K32:K35)</x:f>
        <x:v>29338.88888888889</x:v>
      </x:c>
      <x:c r="G9" s="23" t="n">
        <x:f>D9/(1+'Inputs'!$E$17)</x:f>
        <x:v>86363.63636363635</x:v>
      </x:c>
      <x:c r="H9" s="25" t="n">
        <x:f>1-F9/G9</x:f>
        <x:v>0.6602865497076023</x:v>
      </x:c>
      <x:c r="I9" s="1" t="str">
        <x:v>Baguette</x:v>
      </x:c>
      <x:c r="J9" s="1" t="str">
        <x:v>Shokupan</x:v>
      </x:c>
      <x:c r="K9" s="1" t="str">
        <x:v>Chilli-lime mayo</x:v>
      </x:c>
      <x:c r="L9" s="1"/>
      <x:c r="M9" s="1"/>
      <x:c r="N9" s="1"/>
      <x:c r="O9" s="1"/>
      <x:c r="P9" s="1"/>
    </x:row>
    <x:row r="10" ht="38" customHeight="1">
      <x:c r="A10" s="1"/>
      <x:c r="B10" s="1"/>
      <x:c r="C10" s="26" t="str">
        <x:v>Japanese chicken katsu</x:v>
      </x:c>
      <x:c r="D10" s="10" t="n">
        <x:v>110000</x:v>
      </x:c>
      <x:c r="E10" s="11" t="n">
        <x:v>0.25</x:v>
      </x:c>
      <x:c r="F10" s="22" t="n">
        <x:f>SUM(K36:K39)</x:f>
        <x:v>31450.000000000004</x:v>
      </x:c>
      <x:c r="G10" s="23" t="n">
        <x:f>D10/(1+'Inputs'!$E$17)</x:f>
        <x:v>99999.99999999999</x:v>
      </x:c>
      <x:c r="H10" s="25" t="n">
        <x:f>1-F10/G10</x:f>
        <x:v>0.6855</x:v>
      </x:c>
      <x:c r="I10" s="1" t="str">
        <x:v>Shokupan</x:v>
      </x:c>
      <x:c r="J10" s="1" t="str">
        <x:v>Baguette</x:v>
      </x:c>
      <x:c r="K10" s="1" t="str">
        <x:v>Katsu sauce + mayo</x:v>
      </x:c>
      <x:c r="L10" s="1"/>
      <x:c r="M10" s="1"/>
      <x:c r="N10" s="1"/>
      <x:c r="O10" s="1"/>
      <x:c r="P10" s="1"/>
    </x:row>
    <x:row r="11" ht="38" customHeight="1">
      <x:c r="A11" s="1"/>
      <x:c r="B11" s="1"/>
      <x:c r="C11" s="26" t="str">
        <x:v>Italian deli sandwich</x:v>
      </x:c>
      <x:c r="D11" s="10" t="n">
        <x:v>125000</x:v>
      </x:c>
      <x:c r="E11" s="11" t="n">
        <x:v>0.15</x:v>
      </x:c>
      <x:c r="F11" s="22" t="n">
        <x:f>SUM(K40:K43)</x:f>
        <x:v>45130.555555555555</x:v>
      </x:c>
      <x:c r="G11" s="23" t="n">
        <x:f>D11/(1+'Inputs'!$E$17)</x:f>
        <x:v>113636.36363636363</x:v>
      </x:c>
      <x:c r="H11" s="25" t="n">
        <x:f>1-F11/G11</x:f>
        <x:v>0.6028511111111111</x:v>
      </x:c>
      <x:c r="I11" s="1" t="str">
        <x:v>Focaccia</x:v>
      </x:c>
      <x:c r="J11" s="1" t="str">
        <x:v>Baguette</x:v>
      </x:c>
      <x:c r="K11" s="1" t="str">
        <x:v>Herb pesto</x:v>
      </x:c>
      <x:c r="L11" s="1"/>
      <x:c r="M11" s="1"/>
      <x:c r="N11" s="1"/>
      <x:c r="O11" s="1"/>
      <x:c r="P11" s="1"/>
    </x:row>
    <x:row r="12" ht="38" customHeight="1">
      <x:c r="A12" s="1"/>
      <x:c r="B12" s="1"/>
      <x:c r="C12" s="26" t="str">
        <x:v>American pastrami melt</x:v>
      </x:c>
      <x:c r="D12" s="10" t="n">
        <x:v>150000</x:v>
      </x:c>
      <x:c r="E12" s="11" t="n">
        <x:v>0.15</x:v>
      </x:c>
      <x:c r="F12" s="22" t="n">
        <x:f>SUM(K44:K47)</x:f>
        <x:v>55342.10526315789</x:v>
      </x:c>
      <x:c r="G12" s="23" t="n">
        <x:f>D12/(1+'Inputs'!$E$17)</x:f>
        <x:v>136363.63636363635</x:v>
      </x:c>
      <x:c r="H12" s="25" t="n">
        <x:f>1-F12/G12</x:f>
        <x:v>0.5941578947368421</x:v>
      </x:c>
      <x:c r="I12" s="1" t="str">
        <x:v>Shokupan</x:v>
      </x:c>
      <x:c r="J12" s="1" t="str">
        <x:v>Focaccia</x:v>
      </x:c>
      <x:c r="K12" s="1" t="str">
        <x:v>Mustard dressing</x:v>
      </x:c>
      <x:c r="L12" s="1"/>
      <x:c r="M12" s="1"/>
      <x:c r="N12" s="1"/>
      <x:c r="O12" s="1"/>
      <x:c r="P12" s="1"/>
    </x:row>
    <x:row r="13" ht="22" customHeight="1">
      <x:c r="A13" s="1"/>
      <x:c r="B13" s="1"/>
      <x:c r="C13" s="1"/>
      <x:c r="D13" s="24"/>
      <x:c r="E13" s="19"/>
      <x:c r="F13" s="24"/>
      <x:c r="G13" s="24"/>
      <x:c r="H13" s="19"/>
      <x:c r="I13" s="1"/>
      <x:c r="J13" s="1"/>
      <x:c r="K13" s="1"/>
      <x:c r="L13" s="1"/>
      <x:c r="M13" s="1"/>
      <x:c r="N13" s="1"/>
      <x:c r="O13" s="1"/>
      <x:c r="P13" s="1"/>
    </x:row>
    <x:row r="14" ht="22" customHeight="1">
      <x:c r="A14" s="1"/>
      <x:c r="B14" s="1"/>
      <x:c r="C14" s="14" t="str">
        <x:v>Weighted sandwich</x:v>
      </x:c>
      <x:c r="D14" s="16" t="n">
        <x:f>IF(ABS(SUM(E8:E12)-1)&gt;0.000001,"Invalid menu mix",SUMPRODUCT(D8:D12,E8:E12))</x:f>
        <x:v>107500</x:v>
      </x:c>
      <x:c r="E14" s="17" t="n">
        <x:f>SUM(E8:E12)</x:f>
        <x:v>1</x:v>
      </x:c>
      <x:c r="F14" s="16" t="n">
        <x:f>SUMPRODUCT(F8:F12,E8:E12)</x:f>
        <x:v>34257.01023391813</x:v>
      </x:c>
      <x:c r="G14" s="16" t="n">
        <x:f>SUMPRODUCT(G8:G12,E8:E12)</x:f>
        <x:v>97727.27272727272</x:v>
      </x:c>
      <x:c r="H14" s="17" t="n">
        <x:f>1-F14/G14</x:f>
        <x:v>0.6494631510947912</x:v>
      </x:c>
      <x:c r="I14" s="14"/>
      <x:c r="J14" s="14"/>
      <x:c r="K14" s="14"/>
      <x:c r="L14" s="1"/>
      <x:c r="M14" s="1"/>
      <x:c r="N14" s="1"/>
      <x:c r="O14" s="1"/>
      <x:c r="P14" s="1"/>
    </x:row>
    <x:row r="15" ht="22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22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22" customHeight="1">
      <x:c r="A17" s="1"/>
      <x:c r="B17" s="1"/>
      <x:c r="C17" s="1" t="str">
        <x:v>Prices are final direct-customer test targets. No service charge assumed.</x:v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22" customHeight="1">
      <x:c r="A18" s="1"/>
      <x:c r="B18" s="1"/>
      <x:c r="C18" s="1" t="str">
        <x:v>Recipe margin excludes waste, packaging, labour and transaction/platform charges.</x:v>
      </x:c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22" customHeight="1">
      <x:c r="A19" s="1"/>
      <x:c r="B19" s="1"/>
      <x:c r="C19" s="1" t="str">
        <x:v>Quotes are blank. Enter delivered unit costs, supplier and date before investment.</x:v>
      </x:c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2" customHeight="1">
      <x:c r="A20" s="1"/>
      <x:c r="B20" s="1"/>
      <x:c r="C20" s="1" t="str">
        <x:v>Quantities are grams, except bread pieces/slices. Basis 1000 means IDR/kg; 1 means IDR/piece.</x:v>
      </x:c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 ht="22" customHeight="1">
      <x:c r="A21" s="1"/>
      <x:c r="B21" s="1"/>
      <x:c r="C21" s="1" t="str">
        <x:v>Yield applies once to purchased input. Prepared meats use cooked delivered cost and yield 100%.</x:v>
      </x:c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22" customHeight="1">
      <x:c r="A22" s="1"/>
      <x:c r="B22" s="1"/>
      <x:c r="C22" s="1" t="str">
        <x:v>Named fillings are specifications to test; confirm pork content, allergens and customer suitability.</x:v>
      </x:c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 ht="22" customHeight="1">
      <x:c r="A23" s="1"/>
      <x:c r="B23" s="1"/>
      <x:c r="C23" s="1" t="str">
        <x:v>Swaps: portion-neutral only after costing. No custom choice may reduce contribution below its recipe floor.</x:v>
      </x:c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22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22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40" customHeight="1">
      <x:c r="A26" s="1"/>
      <x:c r="B26" s="1"/>
      <x:c r="C26" s="21" t="str">
        <x:v>Sandwich</x:v>
      </x:c>
      <x:c r="D26" s="21" t="str">
        <x:v>Component</x:v>
      </x:c>
      <x:c r="E26" s="21" t="str">
        <x:v>Portion qty</x:v>
      </x:c>
      <x:c r="F26" s="21" t="str">
        <x:v>Pricing basis qty</x:v>
      </x:c>
      <x:c r="G26" s="21" t="str">
        <x:v>Usable yield</x:v>
      </x:c>
      <x:c r="H26" s="21" t="str">
        <x:v>Assumed unit cost</x:v>
      </x:c>
      <x:c r="I26" s="21" t="str">
        <x:v>Quoted unit cost</x:v>
      </x:c>
      <x:c r="J26" s="21" t="str">
        <x:v>Active unit cost</x:v>
      </x:c>
      <x:c r="K26" s="21" t="str">
        <x:v>Portion cost</x:v>
      </x:c>
      <x:c r="L26" s="21" t="str">
        <x:v>Supplier / source</x:v>
      </x:c>
      <x:c r="M26" s="21" t="str">
        <x:v>Quote date</x:v>
      </x:c>
      <x:c r="N26" s="1"/>
      <x:c r="O26" s="1"/>
      <x:c r="P26" s="1"/>
    </x:row>
    <x:row r="27" ht="22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36" customHeight="1">
      <x:c r="A28" s="1"/>
      <x:c r="B28" s="1"/>
      <x:c r="C28" s="26" t="str">
        <x:v>Japanese egg sando</x:v>
      </x:c>
      <x:c r="D28" s="26" t="str">
        <x:v>Shokupan slices</x:v>
      </x:c>
      <x:c r="E28" s="9" t="n">
        <x:v>2</x:v>
      </x:c>
      <x:c r="F28" s="9" t="n">
        <x:v>1</x:v>
      </x:c>
      <x:c r="G28" s="11" t="n">
        <x:v>1</x:v>
      </x:c>
      <x:c r="H28" s="10" t="n">
        <x:v>3000</x:v>
      </x:c>
      <x:c r="I28" s="10"/>
      <x:c r="J28" s="22" t="n">
        <x:f>IF(ISNUMBER(I28),I28,H28)</x:f>
        <x:v>3000</x:v>
      </x:c>
      <x:c r="K28" s="22" t="n">
        <x:f>E28/F28/G28*J28</x:f>
        <x:v>6000</x:v>
      </x:c>
      <x:c r="L28" s="8" t="str">
        <x:v>Unquoted planning allowance</x:v>
      </x:c>
      <x:c r="M28" s="8"/>
      <x:c r="N28" s="1"/>
      <x:c r="O28" s="1"/>
      <x:c r="P28" s="1"/>
    </x:row>
    <x:row r="29" ht="36" customHeight="1">
      <x:c r="A29" s="1"/>
      <x:c r="B29" s="1"/>
      <x:c r="C29" s="26" t="str">
        <x:v>Japanese egg sando</x:v>
      </x:c>
      <x:c r="D29" s="26" t="str">
        <x:v>Prepared egg filling</x:v>
      </x:c>
      <x:c r="E29" s="9" t="n">
        <x:v>100</x:v>
      </x:c>
      <x:c r="F29" s="9" t="n">
        <x:v>1000</x:v>
      </x:c>
      <x:c r="G29" s="11" t="n">
        <x:v>0.95</x:v>
      </x:c>
      <x:c r="H29" s="10" t="n">
        <x:v>95000</x:v>
      </x:c>
      <x:c r="I29" s="10"/>
      <x:c r="J29" s="22" t="n">
        <x:f>IF(ISNUMBER(I29),I29,H29)</x:f>
        <x:v>95000</x:v>
      </x:c>
      <x:c r="K29" s="22" t="n">
        <x:f>E29/F29/G29*J29</x:f>
        <x:v>10000</x:v>
      </x:c>
      <x:c r="L29" s="8" t="str">
        <x:v>Unquoted planning allowance</x:v>
      </x:c>
      <x:c r="M29" s="8"/>
      <x:c r="N29" s="1"/>
      <x:c r="O29" s="1"/>
      <x:c r="P29" s="1"/>
    </x:row>
    <x:row r="30" ht="36" customHeight="1">
      <x:c r="A30" s="1"/>
      <x:c r="B30" s="1"/>
      <x:c r="C30" s="26" t="str">
        <x:v>Japanese egg sando</x:v>
      </x:c>
      <x:c r="D30" s="26" t="str">
        <x:v>Pickles / greens</x:v>
      </x:c>
      <x:c r="E30" s="9" t="n">
        <x:v>35</x:v>
      </x:c>
      <x:c r="F30" s="9" t="n">
        <x:v>1000</x:v>
      </x:c>
      <x:c r="G30" s="11" t="n">
        <x:v>0.9</x:v>
      </x:c>
      <x:c r="H30" s="10" t="n">
        <x:v>50000</x:v>
      </x:c>
      <x:c r="I30" s="10"/>
      <x:c r="J30" s="22" t="n">
        <x:f>IF(ISNUMBER(I30),I30,H30)</x:f>
        <x:v>50000</x:v>
      </x:c>
      <x:c r="K30" s="22" t="n">
        <x:f>E30/F30/G30*J30</x:f>
        <x:v>1944.4444444444446</x:v>
      </x:c>
      <x:c r="L30" s="8" t="str">
        <x:v>Unquoted planning allowance</x:v>
      </x:c>
      <x:c r="M30" s="8"/>
      <x:c r="N30" s="1"/>
      <x:c r="O30" s="1"/>
      <x:c r="P30" s="1"/>
    </x:row>
    <x:row r="31" ht="36" customHeight="1">
      <x:c r="A31" s="1"/>
      <x:c r="B31" s="1"/>
      <x:c r="C31" s="26" t="str">
        <x:v>Japanese egg sando</x:v>
      </x:c>
      <x:c r="D31" s="26" t="str">
        <x:v>Signature sauce</x:v>
      </x:c>
      <x:c r="E31" s="9" t="n">
        <x:v>25</x:v>
      </x:c>
      <x:c r="F31" s="9" t="n">
        <x:v>1000</x:v>
      </x:c>
      <x:c r="G31" s="11" t="n">
        <x:v>1</x:v>
      </x:c>
      <x:c r="H31" s="10" t="n">
        <x:v>80000</x:v>
      </x:c>
      <x:c r="I31" s="10"/>
      <x:c r="J31" s="22" t="n">
        <x:f>IF(ISNUMBER(I31),I31,H31)</x:f>
        <x:v>80000</x:v>
      </x:c>
      <x:c r="K31" s="22" t="n">
        <x:f>E31/F31/G31*J31</x:f>
        <x:v>2000</x:v>
      </x:c>
      <x:c r="L31" s="8" t="str">
        <x:v>Unquoted planning allowance</x:v>
      </x:c>
      <x:c r="M31" s="8"/>
      <x:c r="N31" s="1"/>
      <x:c r="O31" s="1"/>
      <x:c r="P31" s="1"/>
    </x:row>
    <x:row r="32" ht="36" customHeight="1">
      <x:c r="A32" s="1"/>
      <x:c r="B32" s="1"/>
      <x:c r="C32" s="26" t="str">
        <x:v>Vietnamese-inspired chicken bánh mì</x:v>
      </x:c>
      <x:c r="D32" s="26" t="str">
        <x:v>Baguette</x:v>
      </x:c>
      <x:c r="E32" s="9" t="n">
        <x:v>1</x:v>
      </x:c>
      <x:c r="F32" s="9" t="n">
        <x:v>1</x:v>
      </x:c>
      <x:c r="G32" s="11" t="n">
        <x:v>1</x:v>
      </x:c>
      <x:c r="H32" s="10" t="n">
        <x:v>7000</x:v>
      </x:c>
      <x:c r="I32" s="10"/>
      <x:c r="J32" s="22" t="n">
        <x:f>IF(ISNUMBER(I32),I32,H32)</x:f>
        <x:v>7000</x:v>
      </x:c>
      <x:c r="K32" s="22" t="n">
        <x:f>E32/F32/G32*J32</x:f>
        <x:v>7000</x:v>
      </x:c>
      <x:c r="L32" s="8" t="str">
        <x:v>Unquoted planning allowance</x:v>
      </x:c>
      <x:c r="M32" s="8"/>
      <x:c r="N32" s="1"/>
      <x:c r="O32" s="1"/>
      <x:c r="P32" s="1"/>
    </x:row>
    <x:row r="33" ht="36" customHeight="1">
      <x:c r="A33" s="1"/>
      <x:c r="B33" s="1"/>
      <x:c r="C33" s="26" t="str">
        <x:v>Vietnamese-inspired chicken bánh mì</x:v>
      </x:c>
      <x:c r="D33" s="26" t="str">
        <x:v>Prepared chicken</x:v>
      </x:c>
      <x:c r="E33" s="9" t="n">
        <x:v>120</x:v>
      </x:c>
      <x:c r="F33" s="9" t="n">
        <x:v>1000</x:v>
      </x:c>
      <x:c r="G33" s="11" t="n">
        <x:v>1</x:v>
      </x:c>
      <x:c r="H33" s="10" t="n">
        <x:v>135000</x:v>
      </x:c>
      <x:c r="I33" s="10"/>
      <x:c r="J33" s="22" t="n">
        <x:f>IF(ISNUMBER(I33),I33,H33)</x:f>
        <x:v>135000</x:v>
      </x:c>
      <x:c r="K33" s="22" t="n">
        <x:f>E33/F33/G33*J33</x:f>
        <x:v>16200</x:v>
      </x:c>
      <x:c r="L33" s="8" t="str">
        <x:v>Unquoted planning allowance</x:v>
      </x:c>
      <x:c r="M33" s="8"/>
      <x:c r="N33" s="1"/>
      <x:c r="O33" s="1"/>
      <x:c r="P33" s="1"/>
    </x:row>
    <x:row r="34" ht="36" customHeight="1">
      <x:c r="A34" s="1"/>
      <x:c r="B34" s="1"/>
      <x:c r="C34" s="26" t="str">
        <x:v>Vietnamese-inspired chicken bánh mì</x:v>
      </x:c>
      <x:c r="D34" s="26" t="str">
        <x:v>Pickled vegetables / herbs</x:v>
      </x:c>
      <x:c r="E34" s="9" t="n">
        <x:v>70</x:v>
      </x:c>
      <x:c r="F34" s="9" t="n">
        <x:v>1000</x:v>
      </x:c>
      <x:c r="G34" s="11" t="n">
        <x:v>0.9</x:v>
      </x:c>
      <x:c r="H34" s="10" t="n">
        <x:v>50000</x:v>
      </x:c>
      <x:c r="I34" s="10"/>
      <x:c r="J34" s="22" t="n">
        <x:f>IF(ISNUMBER(I34),I34,H34)</x:f>
        <x:v>50000</x:v>
      </x:c>
      <x:c r="K34" s="22" t="n">
        <x:f>E34/F34/G34*J34</x:f>
        <x:v>3888.888888888889</x:v>
      </x:c>
      <x:c r="L34" s="8" t="str">
        <x:v>Unquoted planning allowance</x:v>
      </x:c>
      <x:c r="M34" s="8"/>
      <x:c r="N34" s="1"/>
      <x:c r="O34" s="1"/>
      <x:c r="P34" s="1"/>
    </x:row>
    <x:row r="35" ht="36" customHeight="1">
      <x:c r="A35" s="1"/>
      <x:c r="B35" s="1"/>
      <x:c r="C35" s="26" t="str">
        <x:v>Vietnamese-inspired chicken bánh mì</x:v>
      </x:c>
      <x:c r="D35" s="26" t="str">
        <x:v>Signature sauce</x:v>
      </x:c>
      <x:c r="E35" s="9" t="n">
        <x:v>25</x:v>
      </x:c>
      <x:c r="F35" s="9" t="n">
        <x:v>1000</x:v>
      </x:c>
      <x:c r="G35" s="11" t="n">
        <x:v>1</x:v>
      </x:c>
      <x:c r="H35" s="10" t="n">
        <x:v>90000</x:v>
      </x:c>
      <x:c r="I35" s="10"/>
      <x:c r="J35" s="22" t="n">
        <x:f>IF(ISNUMBER(I35),I35,H35)</x:f>
        <x:v>90000</x:v>
      </x:c>
      <x:c r="K35" s="22" t="n">
        <x:f>E35/F35/G35*J35</x:f>
        <x:v>2250</x:v>
      </x:c>
      <x:c r="L35" s="8" t="str">
        <x:v>Unquoted planning allowance</x:v>
      </x:c>
      <x:c r="M35" s="8"/>
      <x:c r="N35" s="1"/>
      <x:c r="O35" s="1"/>
      <x:c r="P35" s="1"/>
    </x:row>
    <x:row r="36" ht="36" customHeight="1">
      <x:c r="A36" s="1"/>
      <x:c r="B36" s="1"/>
      <x:c r="C36" s="26" t="str">
        <x:v>Japanese chicken katsu</x:v>
      </x:c>
      <x:c r="D36" s="26" t="str">
        <x:v>Shokupan slices</x:v>
      </x:c>
      <x:c r="E36" s="9" t="n">
        <x:v>2</x:v>
      </x:c>
      <x:c r="F36" s="9" t="n">
        <x:v>1</x:v>
      </x:c>
      <x:c r="G36" s="11" t="n">
        <x:v>1</x:v>
      </x:c>
      <x:c r="H36" s="10" t="n">
        <x:v>3000</x:v>
      </x:c>
      <x:c r="I36" s="10"/>
      <x:c r="J36" s="22" t="n">
        <x:f>IF(ISNUMBER(I36),I36,H36)</x:f>
        <x:v>3000</x:v>
      </x:c>
      <x:c r="K36" s="22" t="n">
        <x:f>E36/F36/G36*J36</x:f>
        <x:v>6000</x:v>
      </x:c>
      <x:c r="L36" s="8" t="str">
        <x:v>Unquoted planning allowance</x:v>
      </x:c>
      <x:c r="M36" s="8"/>
      <x:c r="N36" s="1"/>
      <x:c r="O36" s="1"/>
      <x:c r="P36" s="1"/>
    </x:row>
    <x:row r="37" ht="36" customHeight="1">
      <x:c r="A37" s="1"/>
      <x:c r="B37" s="1"/>
      <x:c r="C37" s="26" t="str">
        <x:v>Japanese chicken katsu</x:v>
      </x:c>
      <x:c r="D37" s="26" t="str">
        <x:v>Prepared katsu including crumb/oil</x:v>
      </x:c>
      <x:c r="E37" s="9" t="n">
        <x:v>140</x:v>
      </x:c>
      <x:c r="F37" s="9" t="n">
        <x:v>1000</x:v>
      </x:c>
      <x:c r="G37" s="11" t="n">
        <x:v>1</x:v>
      </x:c>
      <x:c r="H37" s="10" t="n">
        <x:v>140000</x:v>
      </x:c>
      <x:c r="I37" s="10"/>
      <x:c r="J37" s="22" t="n">
        <x:f>IF(ISNUMBER(I37),I37,H37)</x:f>
        <x:v>140000</x:v>
      </x:c>
      <x:c r="K37" s="22" t="n">
        <x:f>E37/F37/G37*J37</x:f>
        <x:v>19600.000000000004</x:v>
      </x:c>
      <x:c r="L37" s="8" t="str">
        <x:v>Unquoted planning allowance</x:v>
      </x:c>
      <x:c r="M37" s="8"/>
      <x:c r="N37" s="1"/>
      <x:c r="O37" s="1"/>
      <x:c r="P37" s="1"/>
    </x:row>
    <x:row r="38" ht="36" customHeight="1">
      <x:c r="A38" s="1"/>
      <x:c r="B38" s="1"/>
      <x:c r="C38" s="26" t="str">
        <x:v>Japanese chicken katsu</x:v>
      </x:c>
      <x:c r="D38" s="26" t="str">
        <x:v>Cabbage / pickles</x:v>
      </x:c>
      <x:c r="E38" s="9" t="n">
        <x:v>60</x:v>
      </x:c>
      <x:c r="F38" s="9" t="n">
        <x:v>1000</x:v>
      </x:c>
      <x:c r="G38" s="11" t="n">
        <x:v>0.9</x:v>
      </x:c>
      <x:c r="H38" s="10" t="n">
        <x:v>45000</x:v>
      </x:c>
      <x:c r="I38" s="10"/>
      <x:c r="J38" s="22" t="n">
        <x:f>IF(ISNUMBER(I38),I38,H38)</x:f>
        <x:v>45000</x:v>
      </x:c>
      <x:c r="K38" s="22" t="n">
        <x:f>E38/F38/G38*J38</x:f>
        <x:v>3000</x:v>
      </x:c>
      <x:c r="L38" s="8" t="str">
        <x:v>Unquoted planning allowance</x:v>
      </x:c>
      <x:c r="M38" s="8"/>
      <x:c r="N38" s="1"/>
      <x:c r="O38" s="1"/>
      <x:c r="P38" s="1"/>
    </x:row>
    <x:row r="39" ht="36" customHeight="1">
      <x:c r="A39" s="1"/>
      <x:c r="B39" s="1"/>
      <x:c r="C39" s="26" t="str">
        <x:v>Japanese chicken katsu</x:v>
      </x:c>
      <x:c r="D39" s="26" t="str">
        <x:v>Signature sauces</x:v>
      </x:c>
      <x:c r="E39" s="9" t="n">
        <x:v>30</x:v>
      </x:c>
      <x:c r="F39" s="9" t="n">
        <x:v>1000</x:v>
      </x:c>
      <x:c r="G39" s="11" t="n">
        <x:v>1</x:v>
      </x:c>
      <x:c r="H39" s="10" t="n">
        <x:v>95000</x:v>
      </x:c>
      <x:c r="I39" s="10"/>
      <x:c r="J39" s="22" t="n">
        <x:f>IF(ISNUMBER(I39),I39,H39)</x:f>
        <x:v>95000</x:v>
      </x:c>
      <x:c r="K39" s="22" t="n">
        <x:f>E39/F39/G39*J39</x:f>
        <x:v>2850</x:v>
      </x:c>
      <x:c r="L39" s="8" t="str">
        <x:v>Unquoted planning allowance</x:v>
      </x:c>
      <x:c r="M39" s="8"/>
      <x:c r="N39" s="1"/>
      <x:c r="O39" s="1"/>
      <x:c r="P39" s="1"/>
    </x:row>
    <x:row r="40" ht="36" customHeight="1">
      <x:c r="A40" s="1"/>
      <x:c r="B40" s="1"/>
      <x:c r="C40" s="26" t="str">
        <x:v>Italian deli sandwich</x:v>
      </x:c>
      <x:c r="D40" s="26" t="str">
        <x:v>Focaccia portion</x:v>
      </x:c>
      <x:c r="E40" s="9" t="n">
        <x:v>1</x:v>
      </x:c>
      <x:c r="F40" s="9" t="n">
        <x:v>1</x:v>
      </x:c>
      <x:c r="G40" s="11" t="n">
        <x:v>1</x:v>
      </x:c>
      <x:c r="H40" s="10" t="n">
        <x:v>9000</x:v>
      </x:c>
      <x:c r="I40" s="10"/>
      <x:c r="J40" s="22" t="n">
        <x:f>IF(ISNUMBER(I40),I40,H40)</x:f>
        <x:v>9000</x:v>
      </x:c>
      <x:c r="K40" s="22" t="n">
        <x:f>E40/F40/G40*J40</x:f>
        <x:v>9000</x:v>
      </x:c>
      <x:c r="L40" s="8" t="str">
        <x:v>Unquoted planning allowance</x:v>
      </x:c>
      <x:c r="M40" s="8"/>
      <x:c r="N40" s="1"/>
      <x:c r="O40" s="1"/>
      <x:c r="P40" s="1"/>
    </x:row>
    <x:row r="41" ht="36" customHeight="1">
      <x:c r="A41" s="1"/>
      <x:c r="B41" s="1"/>
      <x:c r="C41" s="26" t="str">
        <x:v>Italian deli sandwich</x:v>
      </x:c>
      <x:c r="D41" s="26" t="str">
        <x:v>Prepared cured meat mix</x:v>
      </x:c>
      <x:c r="E41" s="9" t="n">
        <x:v>90</x:v>
      </x:c>
      <x:c r="F41" s="9" t="n">
        <x:v>1000</x:v>
      </x:c>
      <x:c r="G41" s="11" t="n">
        <x:v>1</x:v>
      </x:c>
      <x:c r="H41" s="10" t="n">
        <x:v>275000</x:v>
      </x:c>
      <x:c r="I41" s="10"/>
      <x:c r="J41" s="22" t="n">
        <x:f>IF(ISNUMBER(I41),I41,H41)</x:f>
        <x:v>275000</x:v>
      </x:c>
      <x:c r="K41" s="22" t="n">
        <x:f>E41/F41/G41*J41</x:f>
        <x:v>24750</x:v>
      </x:c>
      <x:c r="L41" s="8" t="str">
        <x:v>Unquoted planning allowance</x:v>
      </x:c>
      <x:c r="M41" s="8"/>
      <x:c r="N41" s="1"/>
      <x:c r="O41" s="1"/>
      <x:c r="P41" s="1"/>
    </x:row>
    <x:row r="42" ht="36" customHeight="1">
      <x:c r="A42" s="1"/>
      <x:c r="B42" s="1"/>
      <x:c r="C42" s="26" t="str">
        <x:v>Italian deli sandwich</x:v>
      </x:c>
      <x:c r="D42" s="26" t="str">
        <x:v>Cheese / sauce</x:v>
      </x:c>
      <x:c r="E42" s="9" t="n">
        <x:v>45</x:v>
      </x:c>
      <x:c r="F42" s="9" t="n">
        <x:v>1000</x:v>
      </x:c>
      <x:c r="G42" s="11" t="n">
        <x:v>1</x:v>
      </x:c>
      <x:c r="H42" s="10" t="n">
        <x:v>185000</x:v>
      </x:c>
      <x:c r="I42" s="10"/>
      <x:c r="J42" s="22" t="n">
        <x:f>IF(ISNUMBER(I42),I42,H42)</x:f>
        <x:v>185000</x:v>
      </x:c>
      <x:c r="K42" s="22" t="n">
        <x:f>E42/F42/G42*J42</x:f>
        <x:v>8325</x:v>
      </x:c>
      <x:c r="L42" s="8" t="str">
        <x:v>Unquoted planning allowance</x:v>
      </x:c>
      <x:c r="M42" s="8"/>
      <x:c r="N42" s="1"/>
      <x:c r="O42" s="1"/>
      <x:c r="P42" s="1"/>
    </x:row>
    <x:row r="43" ht="36" customHeight="1">
      <x:c r="A43" s="1"/>
      <x:c r="B43" s="1"/>
      <x:c r="C43" s="26" t="str">
        <x:v>Italian deli sandwich</x:v>
      </x:c>
      <x:c r="D43" s="26" t="str">
        <x:v>Greens / pickles</x:v>
      </x:c>
      <x:c r="E43" s="9" t="n">
        <x:v>50</x:v>
      </x:c>
      <x:c r="F43" s="9" t="n">
        <x:v>1000</x:v>
      </x:c>
      <x:c r="G43" s="11" t="n">
        <x:v>0.9</x:v>
      </x:c>
      <x:c r="H43" s="10" t="n">
        <x:v>55000</x:v>
      </x:c>
      <x:c r="I43" s="10"/>
      <x:c r="J43" s="22" t="n">
        <x:f>IF(ISNUMBER(I43),I43,H43)</x:f>
        <x:v>55000</x:v>
      </x:c>
      <x:c r="K43" s="22" t="n">
        <x:f>E43/F43/G43*J43</x:f>
        <x:v>3055.5555555555557</x:v>
      </x:c>
      <x:c r="L43" s="8" t="str">
        <x:v>Unquoted planning allowance</x:v>
      </x:c>
      <x:c r="M43" s="8"/>
      <x:c r="N43" s="1"/>
      <x:c r="O43" s="1"/>
      <x:c r="P43" s="1"/>
    </x:row>
    <x:row r="44" ht="36" customHeight="1">
      <x:c r="A44" s="1"/>
      <x:c r="B44" s="1"/>
      <x:c r="C44" s="26" t="str">
        <x:v>American pastrami melt</x:v>
      </x:c>
      <x:c r="D44" s="26" t="str">
        <x:v>Shokupan slices</x:v>
      </x:c>
      <x:c r="E44" s="9" t="n">
        <x:v>2</x:v>
      </x:c>
      <x:c r="F44" s="9" t="n">
        <x:v>1</x:v>
      </x:c>
      <x:c r="G44" s="11" t="n">
        <x:v>1</x:v>
      </x:c>
      <x:c r="H44" s="10" t="n">
        <x:v>3000</x:v>
      </x:c>
      <x:c r="I44" s="10"/>
      <x:c r="J44" s="22" t="n">
        <x:f>IF(ISNUMBER(I44),I44,H44)</x:f>
        <x:v>3000</x:v>
      </x:c>
      <x:c r="K44" s="22" t="n">
        <x:f>E44/F44/G44*J44</x:f>
        <x:v>6000</x:v>
      </x:c>
      <x:c r="L44" s="8" t="str">
        <x:v>Unquoted planning allowance</x:v>
      </x:c>
      <x:c r="M44" s="8"/>
      <x:c r="N44" s="1"/>
      <x:c r="O44" s="1"/>
      <x:c r="P44" s="1"/>
    </x:row>
    <x:row r="45" ht="36" customHeight="1">
      <x:c r="A45" s="1"/>
      <x:c r="B45" s="1"/>
      <x:c r="C45" s="26" t="str">
        <x:v>American pastrami melt</x:v>
      </x:c>
      <x:c r="D45" s="26" t="str">
        <x:v>Prepared pastrami</x:v>
      </x:c>
      <x:c r="E45" s="9" t="n">
        <x:v>120</x:v>
      </x:c>
      <x:c r="F45" s="9" t="n">
        <x:v>1000</x:v>
      </x:c>
      <x:c r="G45" s="11" t="n">
        <x:v>1</x:v>
      </x:c>
      <x:c r="H45" s="10" t="n">
        <x:v>300000</x:v>
      </x:c>
      <x:c r="I45" s="10"/>
      <x:c r="J45" s="22" t="n">
        <x:f>IF(ISNUMBER(I45),I45,H45)</x:f>
        <x:v>300000</x:v>
      </x:c>
      <x:c r="K45" s="22" t="n">
        <x:f>E45/F45/G45*J45</x:f>
        <x:v>36000</x:v>
      </x:c>
      <x:c r="L45" s="8" t="str">
        <x:v>Unquoted planning allowance</x:v>
      </x:c>
      <x:c r="M45" s="8"/>
      <x:c r="N45" s="1"/>
      <x:c r="O45" s="1"/>
      <x:c r="P45" s="1"/>
    </x:row>
    <x:row r="46" ht="36" customHeight="1">
      <x:c r="A46" s="1"/>
      <x:c r="B46" s="1"/>
      <x:c r="C46" s="26" t="str">
        <x:v>American pastrami melt</x:v>
      </x:c>
      <x:c r="D46" s="26" t="str">
        <x:v>Cheese / dressing</x:v>
      </x:c>
      <x:c r="E46" s="9" t="n">
        <x:v>50</x:v>
      </x:c>
      <x:c r="F46" s="9" t="n">
        <x:v>1000</x:v>
      </x:c>
      <x:c r="G46" s="11" t="n">
        <x:v>1</x:v>
      </x:c>
      <x:c r="H46" s="10" t="n">
        <x:v>180000</x:v>
      </x:c>
      <x:c r="I46" s="10"/>
      <x:c r="J46" s="22" t="n">
        <x:f>IF(ISNUMBER(I46),I46,H46)</x:f>
        <x:v>180000</x:v>
      </x:c>
      <x:c r="K46" s="22" t="n">
        <x:f>E46/F46/G46*J46</x:f>
        <x:v>9000</x:v>
      </x:c>
      <x:c r="L46" s="8" t="str">
        <x:v>Unquoted planning allowance</x:v>
      </x:c>
      <x:c r="M46" s="8"/>
      <x:c r="N46" s="1"/>
      <x:c r="O46" s="1"/>
      <x:c r="P46" s="1"/>
    </x:row>
    <x:row r="47" ht="36" customHeight="1">
      <x:c r="A47" s="1"/>
      <x:c r="B47" s="1"/>
      <x:c r="C47" s="26" t="str">
        <x:v>American pastrami melt</x:v>
      </x:c>
      <x:c r="D47" s="26" t="str">
        <x:v>Sauerkraut / pickles</x:v>
      </x:c>
      <x:c r="E47" s="9" t="n">
        <x:v>55</x:v>
      </x:c>
      <x:c r="F47" s="9" t="n">
        <x:v>1000</x:v>
      </x:c>
      <x:c r="G47" s="11" t="n">
        <x:v>0.95</x:v>
      </x:c>
      <x:c r="H47" s="10" t="n">
        <x:v>75000</x:v>
      </x:c>
      <x:c r="I47" s="10"/>
      <x:c r="J47" s="22" t="n">
        <x:f>IF(ISNUMBER(I47),I47,H47)</x:f>
        <x:v>75000</x:v>
      </x:c>
      <x:c r="K47" s="22" t="n">
        <x:f>E47/F47/G47*J47</x:f>
        <x:v>4342.105263157895</x:v>
      </x:c>
      <x:c r="L47" s="8" t="str">
        <x:v>Unquoted planning allowance</x:v>
      </x:c>
      <x:c r="M47" s="8"/>
      <x:c r="N47" s="1"/>
      <x:c r="O47" s="1"/>
      <x:c r="P47" s="1"/>
    </x:row>
    <x:row r="48" ht="22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22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22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  <x:row r="51" ht="22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</x:row>
    <x:row r="52" ht="22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</x:row>
    <x:row r="53" ht="22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</x:row>
    <x:row r="54" ht="22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</x:row>
    <x:row r="55" ht="22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</x:row>
    <x:row r="56" ht="22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</x:row>
    <x:row r="57" ht="22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</x:row>
    <x:row r="58" ht="22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</x:row>
    <x:row r="59" ht="22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</x:row>
    <x:row r="60" ht="22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</x:row>
    <x:row r="61" ht="22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</x:row>
    <x:row r="62" ht="22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</x:row>
    <x:row r="63" ht="22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</x:row>
    <x:row r="64" ht="22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</x:row>
    <x:row r="65" ht="22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</x:row>
    <x:row r="66" ht="22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</x:row>
    <x:row r="67" ht="22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</x:row>
    <x:row r="68" ht="22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</x:row>
    <x:row r="69" ht="22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</x:row>
    <x:row r="70" ht="22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</x:row>
    <x:row r="71" ht="22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</x:row>
    <x:row r="72" ht="22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</x:row>
    <x:row r="73" ht="22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</x:row>
    <x:row r="74" ht="22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</x:row>
    <x:row r="75" ht="22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</x:row>
    <x:row r="76" ht="22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</x:row>
    <x:row r="77" ht="22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</x:row>
    <x:row r="78" ht="22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</x:row>
    <x:row r="79" ht="22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</x:row>
    <x:row r="80" ht="22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</x:row>
    <x:row r="81" ht="22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</x:row>
    <x:row r="82" ht="22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</x:row>
    <x:row r="83" ht="22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</x:row>
    <x:row r="84" ht="22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</x:row>
    <x:row r="85" ht="22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</x:row>
    <x:row r="86" ht="22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</x:row>
    <x:row r="87" ht="22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</x:row>
    <x:row r="88" ht="22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</x:row>
    <x:row r="89" ht="22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</x:row>
    <x:row r="90" ht="22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</x:row>
    <x:row r="91" ht="22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</x:row>
    <x:row r="92" ht="22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</x:row>
    <x:row r="93" ht="22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</x:row>
    <x:row r="94" ht="22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</x:row>
    <x:row r="95" ht="22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</x:row>
    <x:row r="96" ht="22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</x:row>
    <x:row r="97" ht="22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</x:row>
    <x:row r="98" ht="22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</x:row>
    <x:row r="99" ht="22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</x:row>
    <x:row r="100" ht="22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</x:row>
    <x:row r="101" ht="22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</x:row>
    <x:row r="102" ht="22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</x:row>
    <x:row r="103" ht="22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</x:row>
    <x:row r="104" ht="22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</x:row>
    <x:row r="105" ht="22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</x:row>
    <x:row r="106" ht="22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</x:row>
    <x:row r="107" ht="22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</x:row>
    <x:row r="108" ht="22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</x:row>
    <x:row r="109" ht="22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</x:row>
    <x:row r="110" ht="22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</x:row>
    <x:row r="111" ht="22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</x:row>
    <x:row r="112" ht="22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</x:row>
    <x:row r="113" ht="22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</x:row>
    <x:row r="114" ht="22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</x:row>
    <x:row r="115" ht="22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</x:row>
    <x:row r="116" ht="22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</x:row>
    <x:row r="117" ht="22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</x:row>
    <x:row r="118" ht="22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</x:row>
    <x:row r="119" ht="22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</x:row>
    <x:row r="120" ht="22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</x:row>
    <x:row r="121" ht="22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</x:row>
    <x:row r="122" ht="22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</x:row>
    <x:row r="123" ht="22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</x:row>
    <x:row r="124" ht="22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</x:row>
    <x:row r="125" ht="22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</x:row>
    <x:row r="126" ht="22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</x:row>
    <x:row r="127" ht="22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</x:row>
    <x:row r="128" ht="22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</x:row>
    <x:row r="129" ht="22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</x:row>
    <x:row r="130" ht="22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</x:row>
    <x:row r="131" ht="22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</x:row>
    <x:row r="132" ht="22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</x:row>
    <x:row r="133" ht="22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</x:row>
    <x:row r="134" ht="22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</x:row>
    <x:row r="135" ht="22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</x:row>
    <x:row r="136" ht="22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</x:row>
    <x:row r="137" ht="22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</x:row>
    <x:row r="138" ht="22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</x:row>
    <x:row r="139" ht="22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</x:row>
    <x:row r="140" ht="22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</x:row>
    <x:row r="141" ht="22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</x:row>
    <x:row r="142" ht="22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</x:row>
    <x:row r="143" ht="22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</x:row>
    <x:row r="144" ht="22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</x:row>
    <x:row r="145" ht="22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</x:row>
    <x:row r="146" ht="22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</x:row>
    <x:row r="147" ht="22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</x:row>
    <x:row r="148" ht="22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</x:row>
    <x:row r="149" ht="22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</x:row>
    <x:row r="150" ht="22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</x:row>
    <x:row r="151" ht="22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</x:row>
    <x:row r="152" ht="22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</x:row>
    <x:row r="153" ht="22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</x:row>
    <x:row r="154" ht="22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</x:row>
    <x:row r="155" ht="22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</x:row>
    <x:row r="156" ht="22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</x:row>
    <x:row r="157" ht="22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</x:row>
    <x:row r="158" ht="22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</x:row>
    <x:row r="159" ht="22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</x:row>
    <x:row r="160" ht="22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</x:row>
    <x:row r="161" ht="22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</x:row>
    <x:row r="162" ht="22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</x:row>
    <x:row r="163" ht="22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</x:row>
    <x:row r="164" ht="22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</x:row>
    <x:row r="165" ht="22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</x:row>
    <x:row r="166" ht="22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</x:row>
    <x:row r="167" ht="22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</x:row>
    <x:row r="168" ht="22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</x:row>
    <x:row r="169" ht="22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</x:row>
    <x:row r="170" ht="22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</x:row>
    <x:row r="171" ht="22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</x:row>
    <x:row r="172" ht="22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</x:row>
    <x:row r="173" ht="22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</x:row>
    <x:row r="174" ht="22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</x:row>
    <x:row r="175" ht="22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</x:row>
    <x:row r="176" ht="22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</x:row>
    <x:row r="177" ht="22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</x:row>
    <x:row r="178" ht="22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</x:row>
    <x:row r="179" ht="22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</x:row>
    <x:row r="180" ht="22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</x:row>
    <x:row r="181" ht="22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</x:row>
    <x:row r="182" ht="22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</x:row>
    <x:row r="183" ht="22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</x:row>
    <x:row r="184" ht="22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</x:row>
    <x:row r="185" ht="22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</x:row>
    <x:row r="186" ht="22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</x:row>
    <x:row r="187" ht="22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</x:row>
    <x:row r="188" ht="22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</x:row>
    <x:row r="189" ht="22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</x:row>
    <x:row r="190" ht="22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</x:row>
  </x:sheetData>
  <x:dataValidations count="4">
    <x:dataValidation type="decimal" operator="between" sqref="E8:E12">
      <x:formula1>0</x:formula1>
      <x:formula2>1</x:formula2>
    </x:dataValidation>
    <x:dataValidation type="decimal" operator="between" sqref="D8:D12">
      <x:formula1>75000</x:formula1>
      <x:formula2>150000</x:formula2>
    </x:dataValidation>
    <x:dataValidation type="decimal" operator="between" sqref="G28:G47">
      <x:formula1>0.01</x:formula1>
      <x:formula2>1</x:formula2>
    </x:dataValidation>
    <x:dataValidation type="decimal" operator="between" sqref="I28:I47">
      <x:formula1>0</x:formula1>
      <x:formula2>10000000</x:formula2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5" hidden="0" customWidth="1"/>
    <x:col min="4" max="4" width="15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62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2" customHeight="1">
      <x:c r="A2" s="1"/>
      <x:c r="B2" s="1"/>
      <x:c r="C2" s="2" t="str">
        <x:v>Maya Berawa · Baskets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2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2" customHeight="1">
      <x:c r="A4" s="1"/>
      <x:c r="B4" s="1"/>
      <x:c r="C4" s="1" t="str">
        <x:v>Case selected</x:v>
      </x:c>
      <x:c r="D4" s="1"/>
      <x:c r="E4" s="5" t="str">
        <x:f>'Inputs'!G4</x:f>
        <x:v>Base</x:v>
      </x:c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25" customHeight="1">
      <x:c r="A6" s="1"/>
      <x:c r="B6" s="1"/>
      <x:c r="C6" s="13" t="str">
        <x:v>Product and purchase controls</x:v>
      </x:c>
      <x:c r="D6" s="13"/>
      <x:c r="E6" s="13"/>
      <x:c r="F6" s="13"/>
      <x:c r="G6" s="13"/>
      <x:c r="H6" s="13"/>
      <x:c r="I6" s="13"/>
      <x:c r="J6" s="13"/>
      <x:c r="K6" s="13"/>
      <x:c r="L6" s="13"/>
      <x:c r="M6" s="1"/>
      <x:c r="N6" s="1"/>
      <x:c r="O6" s="1"/>
      <x:c r="P6" s="1"/>
    </x:row>
    <x:row r="7" ht="22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42" customHeight="1">
      <x:c r="A8" s="1"/>
      <x:c r="B8" s="1"/>
      <x:c r="C8" s="1" t="str">
        <x:v>Average beverage final price</x:v>
      </x:c>
      <x:c r="D8" s="1"/>
      <x:c r="E8" s="10" t="n">
        <x:v>50000</x:v>
      </x:c>
      <x:c r="F8" s="1"/>
      <x:c r="G8" s="1"/>
      <x:c r="H8" s="1"/>
      <x:c r="I8" s="26" t="str">
        <x:v>Within approved 40–70k range. Weighted price, not every drink.</x:v>
      </x:c>
      <x:c r="J8" s="1"/>
      <x:c r="K8" s="1"/>
      <x:c r="L8" s="1"/>
      <x:c r="M8" s="1"/>
      <x:c r="N8" s="1"/>
      <x:c r="O8" s="1"/>
      <x:c r="P8" s="1"/>
    </x:row>
    <x:row r="9" ht="42" customHeight="1">
      <x:c r="A9" s="1"/>
      <x:c r="B9" s="1"/>
      <x:c r="C9" s="1" t="str">
        <x:v>Beverage recipe cost per unit</x:v>
      </x:c>
      <x:c r="D9" s="1"/>
      <x:c r="E9" s="10" t="n">
        <x:v>13000</x:v>
      </x:c>
      <x:c r="F9" s="1"/>
      <x:c r="G9" s="1"/>
      <x:c r="H9" s="1"/>
      <x:c r="I9" s="26" t="str">
        <x:v>Unquoted blended beans, milk and specialty ingredients.</x:v>
      </x:c>
      <x:c r="J9" s="1"/>
      <x:c r="K9" s="1"/>
      <x:c r="L9" s="1"/>
      <x:c r="M9" s="1"/>
      <x:c r="N9" s="1"/>
      <x:c r="O9" s="1"/>
      <x:c r="P9" s="1"/>
    </x:row>
    <x:row r="10" ht="42" customHeight="1">
      <x:c r="A10" s="1"/>
      <x:c r="B10" s="1"/>
      <x:c r="C10" s="1" t="str">
        <x:v>Sourced pastry final price</x:v>
      </x:c>
      <x:c r="D10" s="1"/>
      <x:c r="E10" s="10" t="n">
        <x:v>35000</x:v>
      </x:c>
      <x:c r="F10" s="1"/>
      <x:c r="G10" s="1"/>
      <x:c r="H10" s="1"/>
      <x:c r="I10" s="26" t="str">
        <x:v>Quick-purchase option; separate from the sandwich price floor.</x:v>
      </x:c>
      <x:c r="J10" s="1"/>
      <x:c r="K10" s="1"/>
      <x:c r="L10" s="1"/>
      <x:c r="M10" s="1"/>
      <x:c r="N10" s="1"/>
      <x:c r="O10" s="1"/>
      <x:c r="P10" s="1"/>
    </x:row>
    <x:row r="11" ht="42" customHeight="1">
      <x:c r="A11" s="1"/>
      <x:c r="B11" s="1"/>
      <x:c r="C11" s="1" t="str">
        <x:v>Sourced pastry unit cost</x:v>
      </x:c>
      <x:c r="D11" s="1"/>
      <x:c r="E11" s="10" t="n">
        <x:v>17000</x:v>
      </x:c>
      <x:c r="F11" s="1"/>
      <x:c r="G11" s="1"/>
      <x:c r="H11" s="1"/>
      <x:c r="I11" s="26" t="str">
        <x:v>Unquoted delivered cost; waste added separately.</x:v>
      </x:c>
      <x:c r="J11" s="1"/>
      <x:c r="K11" s="1"/>
      <x:c r="L11" s="1"/>
      <x:c r="M11" s="1"/>
      <x:c r="N11" s="1"/>
      <x:c r="O11" s="1"/>
      <x:c r="P11" s="1"/>
    </x:row>
    <x:row r="12" ht="42" customHeight="1">
      <x:c r="A12" s="1"/>
      <x:c r="B12" s="1"/>
      <x:c r="C12" s="1" t="str">
        <x:v>Delivery menu price uplift</x:v>
      </x:c>
      <x:c r="D12" s="1"/>
      <x:c r="E12" s="11" t="n">
        <x:v>0.15</x:v>
      </x:c>
      <x:c r="F12" s="1"/>
      <x:c r="G12" s="1"/>
      <x:c r="H12" s="1"/>
      <x:c r="I12" s="26" t="str">
        <x:v>Merchant menu prices only. Excludes customer delivery fees. Not a confirmed platform quote.</x:v>
      </x:c>
      <x:c r="J12" s="1"/>
      <x:c r="K12" s="1"/>
      <x:c r="L12" s="1"/>
      <x:c r="M12" s="1"/>
      <x:c r="N12" s="1"/>
      <x:c r="O12" s="1"/>
      <x:c r="P12" s="1"/>
    </x:row>
    <x:row r="13" ht="42" customHeight="1">
      <x:c r="A13" s="1"/>
      <x:c r="B13" s="1"/>
      <x:c r="C13" s="1" t="str">
        <x:v>Direct beverage-only packaging</x:v>
      </x:c>
      <x:c r="D13" s="1"/>
      <x:c r="E13" s="10" t="n">
        <x:v>3000</x:v>
      </x:c>
      <x:c r="F13" s="1"/>
      <x:c r="G13" s="1"/>
      <x:c r="H13" s="1"/>
      <x:c r="I13" s="26" t="str">
        <x:v>Cup and lid.</x:v>
      </x:c>
      <x:c r="J13" s="1"/>
      <x:c r="K13" s="1"/>
      <x:c r="L13" s="1"/>
      <x:c r="M13" s="1"/>
      <x:c r="N13" s="1"/>
      <x:c r="O13" s="1"/>
      <x:c r="P13" s="1"/>
    </x:row>
    <x:row r="14" ht="42" customHeight="1">
      <x:c r="A14" s="1"/>
      <x:c r="B14" s="1"/>
      <x:c r="C14" s="1" t="str">
        <x:v>Direct sandwich-only packaging</x:v>
      </x:c>
      <x:c r="D14" s="1"/>
      <x:c r="E14" s="10" t="n">
        <x:v>4000</x:v>
      </x:c>
      <x:c r="F14" s="1"/>
      <x:c r="G14" s="1"/>
      <x:c r="H14" s="1"/>
      <x:c r="I14" s="26" t="str">
        <x:v>Wrapper/box and bag.</x:v>
      </x:c>
      <x:c r="J14" s="1"/>
      <x:c r="K14" s="1"/>
      <x:c r="L14" s="1"/>
      <x:c r="M14" s="1"/>
      <x:c r="N14" s="1"/>
      <x:c r="O14" s="1"/>
      <x:c r="P14" s="1"/>
    </x:row>
    <x:row r="15" ht="42" customHeight="1">
      <x:c r="A15" s="1"/>
      <x:c r="B15" s="1"/>
      <x:c r="C15" s="1" t="str">
        <x:v>Direct sandwich + drink packaging</x:v>
      </x:c>
      <x:c r="D15" s="1"/>
      <x:c r="E15" s="10" t="n">
        <x:v>6500</x:v>
      </x:c>
      <x:c r="F15" s="1"/>
      <x:c r="G15" s="1"/>
      <x:c r="H15" s="1"/>
      <x:c r="I15" s="26" t="str">
        <x:v>One combined package; do not add two bags.</x:v>
      </x:c>
      <x:c r="J15" s="1"/>
      <x:c r="K15" s="1"/>
      <x:c r="L15" s="1"/>
      <x:c r="M15" s="1"/>
      <x:c r="N15" s="1"/>
      <x:c r="O15" s="1"/>
      <x:c r="P15" s="1"/>
    </x:row>
    <x:row r="16" ht="42" customHeight="1">
      <x:c r="A16" s="1"/>
      <x:c r="B16" s="1"/>
      <x:c r="C16" s="1" t="str">
        <x:v>Extra delivery seal / packaging</x:v>
      </x:c>
      <x:c r="D16" s="1"/>
      <x:c r="E16" s="10" t="n">
        <x:v>1500</x:v>
      </x:c>
      <x:c r="F16" s="1"/>
      <x:c r="G16" s="1"/>
      <x:c r="H16" s="1"/>
      <x:c r="I16" s="26" t="str">
        <x:v>Added once per delivery transaction.</x:v>
      </x:c>
      <x:c r="J16" s="1"/>
      <x:c r="K16" s="1"/>
      <x:c r="L16" s="1"/>
      <x:c r="M16" s="1"/>
      <x:c r="N16" s="1"/>
      <x:c r="O16" s="1"/>
      <x:c r="P16" s="1"/>
    </x:row>
    <x:row r="17" ht="42" customHeight="1">
      <x:c r="A17" s="1"/>
      <x:c r="B17" s="1"/>
      <x:c r="C17" s="1" t="str">
        <x:v>Pastry packaging add-on</x:v>
      </x:c>
      <x:c r="D17" s="1"/>
      <x:c r="E17" s="10" t="n">
        <x:v>1000</x:v>
      </x:c>
      <x:c r="F17" s="1"/>
      <x:c r="G17" s="1"/>
      <x:c r="H17" s="1"/>
      <x:c r="I17" s="26" t="str">
        <x:v>Only when pastry attaches to beverage-only transaction.</x:v>
      </x:c>
      <x:c r="J17" s="1"/>
      <x:c r="K17" s="1"/>
      <x:c r="L17" s="1"/>
      <x:c r="M17" s="1"/>
      <x:c r="N17" s="1"/>
      <x:c r="O17" s="1"/>
      <x:c r="P17" s="1"/>
    </x:row>
    <x:row r="18" ht="22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22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2" customHeight="1">
      <x:c r="A20" s="1"/>
      <x:c r="B20" s="1"/>
      <x:c r="C20" s="1" t="str">
        <x:v>Direct beverage-only share · active</x:v>
      </x:c>
      <x:c r="D20" s="1"/>
      <x:c r="E20" s="18" t="n">
        <x:f>CHOOSE('Inputs'!$E$4,E21,E22,E23)</x:f>
        <x:v>0.45</x:v>
      </x:c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 ht="22" customHeight="1">
      <x:c r="A21" s="1"/>
      <x:c r="B21" s="1"/>
      <x:c r="C21" s="1" t="str">
        <x:v>Downside</x:v>
      </x:c>
      <x:c r="D21" s="1"/>
      <x:c r="E21" s="11" t="n">
        <x:v>0.55</x:v>
      </x:c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22" customHeight="1">
      <x:c r="A22" s="1"/>
      <x:c r="B22" s="1"/>
      <x:c r="C22" s="1" t="str">
        <x:v>Base</x:v>
      </x:c>
      <x:c r="D22" s="1"/>
      <x:c r="E22" s="11" t="n">
        <x:v>0.45</x:v>
      </x:c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 ht="22" customHeight="1">
      <x:c r="A23" s="1"/>
      <x:c r="B23" s="1"/>
      <x:c r="C23" s="1" t="str">
        <x:v>Upside</x:v>
      </x:c>
      <x:c r="D23" s="1"/>
      <x:c r="E23" s="11" t="n">
        <x:v>0.35</x:v>
      </x:c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22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22" customHeight="1">
      <x:c r="A25" s="1"/>
      <x:c r="B25" s="1"/>
      <x:c r="C25" s="1" t="str">
        <x:v>Direct sandwich-only share · active</x:v>
      </x:c>
      <x:c r="D25" s="1"/>
      <x:c r="E25" s="18" t="n">
        <x:f>CHOOSE('Inputs'!$E$4,E26,E27,E28)</x:f>
        <x:v>0.2</x:v>
      </x:c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22" customHeight="1">
      <x:c r="A26" s="1"/>
      <x:c r="B26" s="1"/>
      <x:c r="C26" s="1" t="str">
        <x:v>Downside</x:v>
      </x:c>
      <x:c r="D26" s="1"/>
      <x:c r="E26" s="11" t="n">
        <x:v>0.2</x:v>
      </x:c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 ht="22" customHeight="1">
      <x:c r="A27" s="1"/>
      <x:c r="B27" s="1"/>
      <x:c r="C27" s="1" t="str">
        <x:v>Base</x:v>
      </x:c>
      <x:c r="D27" s="1"/>
      <x:c r="E27" s="11" t="n">
        <x:v>0.2</x:v>
      </x:c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22" customHeight="1">
      <x:c r="A28" s="1"/>
      <x:c r="B28" s="1"/>
      <x:c r="C28" s="1" t="str">
        <x:v>Upside</x:v>
      </x:c>
      <x:c r="D28" s="1"/>
      <x:c r="E28" s="11" t="n">
        <x:v>0.2</x:v>
      </x:c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2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 ht="22" customHeight="1">
      <x:c r="A30" s="1"/>
      <x:c r="B30" s="1"/>
      <x:c r="C30" s="1" t="str">
        <x:v>Delivery beverage-only share · active</x:v>
      </x:c>
      <x:c r="D30" s="1"/>
      <x:c r="E30" s="18" t="n">
        <x:f>CHOOSE('Inputs'!$E$4,E31,E32,E33)</x:f>
        <x:v>0.1</x:v>
      </x:c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22" customHeight="1">
      <x:c r="A31" s="1"/>
      <x:c r="B31" s="1"/>
      <x:c r="C31" s="1" t="str">
        <x:v>Downside</x:v>
      </x:c>
      <x:c r="D31" s="1"/>
      <x:c r="E31" s="11" t="n">
        <x:v>0.15</x:v>
      </x:c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 ht="22" customHeight="1">
      <x:c r="A32" s="1"/>
      <x:c r="B32" s="1"/>
      <x:c r="C32" s="1" t="str">
        <x:v>Base</x:v>
      </x:c>
      <x:c r="D32" s="1"/>
      <x:c r="E32" s="11" t="n">
        <x:v>0.1</x:v>
      </x:c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22" customHeight="1">
      <x:c r="A33" s="1"/>
      <x:c r="B33" s="1"/>
      <x:c r="C33" s="1" t="str">
        <x:v>Upside</x:v>
      </x:c>
      <x:c r="D33" s="1"/>
      <x:c r="E33" s="11" t="n">
        <x:v>0.05</x:v>
      </x:c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22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22" customHeight="1">
      <x:c r="A35" s="1"/>
      <x:c r="B35" s="1"/>
      <x:c r="C35" s="1" t="str">
        <x:v>Delivery sandwich-only share · active</x:v>
      </x:c>
      <x:c r="D35" s="1"/>
      <x:c r="E35" s="18" t="n">
        <x:f>CHOOSE('Inputs'!$E$4,E36,E37,E38)</x:f>
        <x:v>0.35</x:v>
      </x:c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2" customHeight="1">
      <x:c r="A36" s="1"/>
      <x:c r="B36" s="1"/>
      <x:c r="C36" s="1" t="str">
        <x:v>Downside</x:v>
      </x:c>
      <x:c r="D36" s="1"/>
      <x:c r="E36" s="11" t="n">
        <x:v>0.4</x:v>
      </x:c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2" customHeight="1">
      <x:c r="A37" s="1"/>
      <x:c r="B37" s="1"/>
      <x:c r="C37" s="1" t="str">
        <x:v>Base</x:v>
      </x:c>
      <x:c r="D37" s="1"/>
      <x:c r="E37" s="11" t="n">
        <x:v>0.35</x:v>
      </x:c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22" customHeight="1">
      <x:c r="A38" s="1"/>
      <x:c r="B38" s="1"/>
      <x:c r="C38" s="1" t="str">
        <x:v>Upside</x:v>
      </x:c>
      <x:c r="D38" s="1"/>
      <x:c r="E38" s="11" t="n">
        <x:v>0.3</x:v>
      </x:c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22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22" customHeight="1">
      <x:c r="A40" s="1"/>
      <x:c r="B40" s="1"/>
      <x:c r="C40" s="1" t="str">
        <x:v>Pastry attach to beverage-only · active</x:v>
      </x:c>
      <x:c r="D40" s="1"/>
      <x:c r="E40" s="18" t="n">
        <x:f>CHOOSE('Inputs'!$E$4,E41,E42,E43)</x:f>
        <x:v>0.15</x:v>
      </x:c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 ht="22" customHeight="1">
      <x:c r="A41" s="1"/>
      <x:c r="B41" s="1"/>
      <x:c r="C41" s="1" t="str">
        <x:v>Downside</x:v>
      </x:c>
      <x:c r="D41" s="1"/>
      <x:c r="E41" s="11" t="n">
        <x:v>0.1</x:v>
      </x:c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22" customHeight="1">
      <x:c r="A42" s="1"/>
      <x:c r="B42" s="1"/>
      <x:c r="C42" s="1" t="str">
        <x:v>Base</x:v>
      </x:c>
      <x:c r="D42" s="1"/>
      <x:c r="E42" s="11" t="n">
        <x:v>0.15</x:v>
      </x:c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22" customHeight="1">
      <x:c r="A43" s="1"/>
      <x:c r="B43" s="1"/>
      <x:c r="C43" s="1" t="str">
        <x:v>Upside</x:v>
      </x:c>
      <x:c r="D43" s="1"/>
      <x:c r="E43" s="11" t="n">
        <x:v>0.2</x:v>
      </x:c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22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22" customHeight="1">
      <x:c r="A45" s="1"/>
      <x:c r="B45" s="1"/>
      <x:c r="C45" s="1" t="str">
        <x:v>Direct sandwich + drink share</x:v>
      </x:c>
      <x:c r="D45" s="1"/>
      <x:c r="E45" s="25" t="n">
        <x:f>1-E20-E25</x:f>
        <x:v>0.35000000000000003</x:v>
      </x:c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 ht="22" customHeight="1">
      <x:c r="A46" s="1"/>
      <x:c r="B46" s="1"/>
      <x:c r="C46" s="1" t="str">
        <x:v>Delivery sandwich + drink share</x:v>
      </x:c>
      <x:c r="D46" s="1"/>
      <x:c r="E46" s="25" t="n">
        <x:f>1-E30-E35</x:f>
        <x:v>0.55</x:v>
      </x:c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 ht="22" customHeight="1">
      <x:c r="A47" s="1"/>
      <x:c r="B47" s="1"/>
      <x:c r="C47" s="1" t="str">
        <x:v>Direct meal transaction rate</x:v>
      </x:c>
      <x:c r="D47" s="1"/>
      <x:c r="E47" s="25" t="n">
        <x:f>E25+E45</x:f>
        <x:v>0.55</x:v>
      </x:c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 ht="22" customHeight="1">
      <x:c r="A48" s="1"/>
      <x:c r="B48" s="1"/>
      <x:c r="C48" s="1" t="str">
        <x:v>Drink attachment among direct meals</x:v>
      </x:c>
      <x:c r="D48" s="1"/>
      <x:c r="E48" s="25" t="n">
        <x:f>IF(E47=0,"n.a.",E45/E47)</x:f>
        <x:v>0.6363636363636364</x:v>
      </x:c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22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22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  <x:row r="51" ht="25" customHeight="1">
      <x:c r="A51" s="1"/>
      <x:c r="B51" s="1"/>
      <x:c r="C51" s="13" t="str">
        <x:v>Per-transaction economics (IDR)</x:v>
      </x:c>
      <x:c r="D51" s="13"/>
      <x:c r="E51" s="13"/>
      <x:c r="F51" s="13"/>
      <x:c r="G51" s="13"/>
      <x:c r="H51" s="13"/>
      <x:c r="I51" s="13"/>
      <x:c r="J51" s="13"/>
      <x:c r="K51" s="13"/>
      <x:c r="L51" s="13"/>
      <x:c r="M51" s="13"/>
      <x:c r="N51" s="13"/>
      <x:c r="O51" s="1"/>
      <x:c r="P51" s="1"/>
    </x:row>
    <x:row r="52" ht="44" customHeight="1">
      <x:c r="A52" s="1"/>
      <x:c r="B52" s="1"/>
      <x:c r="C52" s="21" t="str">
        <x:v>Purchase</x:v>
      </x:c>
      <x:c r="D52" s="21" t="str">
        <x:v>Channel</x:v>
      </x:c>
      <x:c r="E52" s="21" t="str">
        <x:v>Transaction share</x:v>
      </x:c>
      <x:c r="F52" s="21" t="str">
        <x:v>Customer menu total</x:v>
      </x:c>
      <x:c r="G52" s="21" t="str">
        <x:v>Ex-tax menu sales</x:v>
      </x:c>
      <x:c r="H52" s="21" t="str">
        <x:v>Recipe cost</x:v>
      </x:c>
      <x:c r="I52" s="21" t="str">
        <x:v>Packaging</x:v>
      </x:c>
      <x:c r="J52" s="21" t="str">
        <x:v>Discount rate</x:v>
      </x:c>
      <x:c r="K52" s="21" t="str">
        <x:v>Net revenue</x:v>
      </x:c>
      <x:c r="L52" s="21" t="str">
        <x:v>Platform/payment</x:v>
      </x:c>
      <x:c r="M52" s="21" t="str">
        <x:v>Waste</x:v>
      </x:c>
      <x:c r="N52" s="21" t="str">
        <x:v>Contribution</x:v>
      </x:c>
      <x:c r="O52" s="1"/>
      <x:c r="P52" s="1"/>
    </x:row>
    <x:row r="53" ht="22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</x:row>
    <x:row r="54" ht="36" customHeight="1">
      <x:c r="A54" s="1"/>
      <x:c r="B54" s="1"/>
      <x:c r="C54" s="26" t="str">
        <x:v>Beverage only (+ possible pastry)</x:v>
      </x:c>
      <x:c r="D54" s="1" t="str">
        <x:v>Dine-in</x:v>
      </x:c>
      <x:c r="E54" s="25" t="n">
        <x:f>E20</x:f>
        <x:v>0.45</x:v>
      </x:c>
      <x:c r="F54" s="22" t="n">
        <x:f>($E$8+$E$40*$E$10)</x:f>
        <x:v>55250</x:v>
      </x:c>
      <x:c r="G54" s="23" t="n">
        <x:f>F54/(1+'Inputs'!$E$17)</x:f>
        <x:v>50227.27272727272</x:v>
      </x:c>
      <x:c r="H54" s="23" t="n">
        <x:f>($E$9+$E$40*$E$11)*'Inputs'!$E$103+G54*'Inputs'!$E$49</x:f>
        <x:v>15550</x:v>
      </x:c>
      <x:c r="I54" s="23" t="n">
        <x:f>'Inputs'!$E$22</x:f>
        <x:v>1000</x:v>
      </x:c>
      <x:c r="J54" s="25" t="n">
        <x:f>0</x:f>
        <x:v>0</x:v>
      </x:c>
      <x:c r="K54" s="22" t="n">
        <x:f>G54*(1-J54)</x:f>
        <x:v>50227.27272727272</x:v>
      </x:c>
      <x:c r="L54" s="23" t="n">
        <x:f>K54*'Inputs'!$E$21</x:f>
        <x:v>502.2727272727272</x:v>
      </x:c>
      <x:c r="M54" s="23" t="n">
        <x:f>G54*'Inputs'!$E$108</x:f>
        <x:v>1506.8181818181815</x:v>
      </x:c>
      <x:c r="N54" s="22" t="n">
        <x:f>K54-H54-I54-L54-M54</x:f>
        <x:v>31668.181818181813</x:v>
      </x:c>
      <x:c r="O54" s="1"/>
      <x:c r="P54" s="1"/>
    </x:row>
    <x:row r="55" ht="36" customHeight="1">
      <x:c r="A55" s="1"/>
      <x:c r="B55" s="1"/>
      <x:c r="C55" s="26" t="str">
        <x:v>Sandwich only</x:v>
      </x:c>
      <x:c r="D55" s="1" t="str">
        <x:v>Dine-in</x:v>
      </x:c>
      <x:c r="E55" s="25" t="n">
        <x:f>E25</x:f>
        <x:v>0.2</x:v>
      </x:c>
      <x:c r="F55" s="23" t="n">
        <x:f>('Menu costing'!$D$14)</x:f>
        <x:v>107500</x:v>
      </x:c>
      <x:c r="G55" s="23" t="n">
        <x:f>F55/(1+'Inputs'!$E$17)</x:f>
        <x:v>97727.27272727272</x:v>
      </x:c>
      <x:c r="H55" s="23" t="n">
        <x:f>('Menu costing'!$F$14)*'Inputs'!$E$103+G55*'Inputs'!$E$49</x:f>
        <x:v>34257.01023391813</x:v>
      </x:c>
      <x:c r="I55" s="23" t="n">
        <x:f>'Inputs'!$E$22</x:f>
        <x:v>1000</x:v>
      </x:c>
      <x:c r="J55" s="25" t="n">
        <x:f>0</x:f>
        <x:v>0</x:v>
      </x:c>
      <x:c r="K55" s="22" t="n">
        <x:f>G55*(1-J55)</x:f>
        <x:v>97727.27272727272</x:v>
      </x:c>
      <x:c r="L55" s="23" t="n">
        <x:f>K55*'Inputs'!$E$21</x:f>
        <x:v>977.2727272727273</x:v>
      </x:c>
      <x:c r="M55" s="23" t="n">
        <x:f>G55*'Inputs'!$E$108</x:f>
        <x:v>2931.8181818181815</x:v>
      </x:c>
      <x:c r="N55" s="22" t="n">
        <x:f>K55-H55-I55-L55-M55</x:f>
        <x:v>58561.17158426368</x:v>
      </x:c>
      <x:c r="O55" s="1"/>
      <x:c r="P55" s="1"/>
    </x:row>
    <x:row r="56" ht="36" customHeight="1">
      <x:c r="A56" s="1"/>
      <x:c r="B56" s="1"/>
      <x:c r="C56" s="26" t="str">
        <x:v>Sandwich + drink</x:v>
      </x:c>
      <x:c r="D56" s="1" t="str">
        <x:v>Dine-in</x:v>
      </x:c>
      <x:c r="E56" s="25" t="n">
        <x:f>E45</x:f>
        <x:v>0.35000000000000003</x:v>
      </x:c>
      <x:c r="F56" s="23" t="n">
        <x:f>('Menu costing'!$D$14+$E$8)</x:f>
        <x:v>157500</x:v>
      </x:c>
      <x:c r="G56" s="23" t="n">
        <x:f>F56/(1+'Inputs'!$E$17)</x:f>
        <x:v>143181.81818181818</x:v>
      </x:c>
      <x:c r="H56" s="23" t="n">
        <x:f>('Menu costing'!$F$14+$E$9)*'Inputs'!$E$103+G56*'Inputs'!$E$49</x:f>
        <x:v>47257.01023391813</x:v>
      </x:c>
      <x:c r="I56" s="23" t="n">
        <x:f>'Inputs'!$E$22</x:f>
        <x:v>1000</x:v>
      </x:c>
      <x:c r="J56" s="25" t="n">
        <x:f>0</x:f>
        <x:v>0</x:v>
      </x:c>
      <x:c r="K56" s="22" t="n">
        <x:f>G56*(1-J56)</x:f>
        <x:v>143181.81818181818</x:v>
      </x:c>
      <x:c r="L56" s="23" t="n">
        <x:f>K56*'Inputs'!$E$21</x:f>
        <x:v>1431.8181818181818</x:v>
      </x:c>
      <x:c r="M56" s="23" t="n">
        <x:f>G56*'Inputs'!$E$108</x:f>
        <x:v>4295.454545454545</x:v>
      </x:c>
      <x:c r="N56" s="22" t="n">
        <x:f>K56-H56-I56-L56-M56</x:f>
        <x:v>89197.53522062732</x:v>
      </x:c>
      <x:c r="O56" s="1"/>
      <x:c r="P56" s="1"/>
    </x:row>
    <x:row r="57" ht="36" customHeight="1">
      <x:c r="A57" s="1"/>
      <x:c r="B57" s="1"/>
      <x:c r="C57" s="26" t="str">
        <x:v>Beverage only (+ possible pastry)</x:v>
      </x:c>
      <x:c r="D57" s="1" t="str">
        <x:v>Takeaway</x:v>
      </x:c>
      <x:c r="E57" s="25" t="n">
        <x:f>E20</x:f>
        <x:v>0.45</x:v>
      </x:c>
      <x:c r="F57" s="22" t="n">
        <x:f>($E$8+$E$40*$E$10)</x:f>
        <x:v>55250</x:v>
      </x:c>
      <x:c r="G57" s="23" t="n">
        <x:f>F57/(1+'Inputs'!$E$17)</x:f>
        <x:v>50227.27272727272</x:v>
      </x:c>
      <x:c r="H57" s="23" t="n">
        <x:f>($E$9+$E$40*$E$11)*'Inputs'!$E$103+G57*'Inputs'!$E$49</x:f>
        <x:v>15550</x:v>
      </x:c>
      <x:c r="I57" s="22" t="n">
        <x:f>$E$13+$E$40*$E$17</x:f>
        <x:v>3150</x:v>
      </x:c>
      <x:c r="J57" s="18" t="n">
        <x:f>'Inputs'!$E$18</x:f>
        <x:v>0.02</x:v>
      </x:c>
      <x:c r="K57" s="22" t="n">
        <x:f>G57*(1-J57)</x:f>
        <x:v>49222.727272727265</x:v>
      </x:c>
      <x:c r="L57" s="23" t="n">
        <x:f>K57*'Inputs'!$E$21</x:f>
        <x:v>492.22727272727263</x:v>
      </x:c>
      <x:c r="M57" s="23" t="n">
        <x:f>G57*'Inputs'!$E$108</x:f>
        <x:v>1506.8181818181815</x:v>
      </x:c>
      <x:c r="N57" s="22" t="n">
        <x:f>K57-H57-I57-L57-M57</x:f>
        <x:v>28523.681818181813</x:v>
      </x:c>
      <x:c r="O57" s="1"/>
      <x:c r="P57" s="1"/>
    </x:row>
    <x:row r="58" ht="36" customHeight="1">
      <x:c r="A58" s="1"/>
      <x:c r="B58" s="1"/>
      <x:c r="C58" s="26" t="str">
        <x:v>Sandwich only</x:v>
      </x:c>
      <x:c r="D58" s="1" t="str">
        <x:v>Takeaway</x:v>
      </x:c>
      <x:c r="E58" s="25" t="n">
        <x:f>E25</x:f>
        <x:v>0.2</x:v>
      </x:c>
      <x:c r="F58" s="23" t="n">
        <x:f>('Menu costing'!$D$14)</x:f>
        <x:v>107500</x:v>
      </x:c>
      <x:c r="G58" s="23" t="n">
        <x:f>F58/(1+'Inputs'!$E$17)</x:f>
        <x:v>97727.27272727272</x:v>
      </x:c>
      <x:c r="H58" s="23" t="n">
        <x:f>('Menu costing'!$F$14)*'Inputs'!$E$103+G58*'Inputs'!$E$49</x:f>
        <x:v>34257.01023391813</x:v>
      </x:c>
      <x:c r="I58" s="22" t="n">
        <x:f>$E$14</x:f>
        <x:v>4000</x:v>
      </x:c>
      <x:c r="J58" s="18" t="n">
        <x:f>'Inputs'!$E$18</x:f>
        <x:v>0.02</x:v>
      </x:c>
      <x:c r="K58" s="22" t="n">
        <x:f>G58*(1-J58)</x:f>
        <x:v>95772.72727272726</x:v>
      </x:c>
      <x:c r="L58" s="23" t="n">
        <x:f>K58*'Inputs'!$E$21</x:f>
        <x:v>957.7272727272726</x:v>
      </x:c>
      <x:c r="M58" s="23" t="n">
        <x:f>G58*'Inputs'!$E$108</x:f>
        <x:v>2931.8181818181815</x:v>
      </x:c>
      <x:c r="N58" s="22" t="n">
        <x:f>K58-H58-I58-L58-M58</x:f>
        <x:v>53626.17158426368</x:v>
      </x:c>
      <x:c r="O58" s="1"/>
      <x:c r="P58" s="1"/>
    </x:row>
    <x:row r="59" ht="36" customHeight="1">
      <x:c r="A59" s="1"/>
      <x:c r="B59" s="1"/>
      <x:c r="C59" s="26" t="str">
        <x:v>Sandwich + drink</x:v>
      </x:c>
      <x:c r="D59" s="1" t="str">
        <x:v>Takeaway</x:v>
      </x:c>
      <x:c r="E59" s="25" t="n">
        <x:f>E45</x:f>
        <x:v>0.35000000000000003</x:v>
      </x:c>
      <x:c r="F59" s="23" t="n">
        <x:f>('Menu costing'!$D$14+$E$8)</x:f>
        <x:v>157500</x:v>
      </x:c>
      <x:c r="G59" s="23" t="n">
        <x:f>F59/(1+'Inputs'!$E$17)</x:f>
        <x:v>143181.81818181818</x:v>
      </x:c>
      <x:c r="H59" s="23" t="n">
        <x:f>('Menu costing'!$F$14+$E$9)*'Inputs'!$E$103+G59*'Inputs'!$E$49</x:f>
        <x:v>47257.01023391813</x:v>
      </x:c>
      <x:c r="I59" s="22" t="n">
        <x:f>$E$15</x:f>
        <x:v>6500</x:v>
      </x:c>
      <x:c r="J59" s="18" t="n">
        <x:f>'Inputs'!$E$18</x:f>
        <x:v>0.02</x:v>
      </x:c>
      <x:c r="K59" s="22" t="n">
        <x:f>G59*(1-J59)</x:f>
        <x:v>140318.18181818182</x:v>
      </x:c>
      <x:c r="L59" s="23" t="n">
        <x:f>K59*'Inputs'!$E$21</x:f>
        <x:v>1403.1818181818182</x:v>
      </x:c>
      <x:c r="M59" s="23" t="n">
        <x:f>G59*'Inputs'!$E$108</x:f>
        <x:v>4295.454545454545</x:v>
      </x:c>
      <x:c r="N59" s="22" t="n">
        <x:f>K59-H59-I59-L59-M59</x:f>
        <x:v>80862.53522062732</x:v>
      </x:c>
      <x:c r="O59" s="1"/>
      <x:c r="P59" s="1"/>
    </x:row>
    <x:row r="60" ht="36" customHeight="1">
      <x:c r="A60" s="1"/>
      <x:c r="B60" s="1"/>
      <x:c r="C60" s="26" t="str">
        <x:v>Beverage only (+ possible pastry)</x:v>
      </x:c>
      <x:c r="D60" s="1" t="str">
        <x:v>Delivery</x:v>
      </x:c>
      <x:c r="E60" s="25" t="n">
        <x:f>E30</x:f>
        <x:v>0.1</x:v>
      </x:c>
      <x:c r="F60" s="22" t="n">
        <x:f>($E$8+$E$40*$E$10)*(1+$E$12)</x:f>
        <x:v>63537.49999999999</x:v>
      </x:c>
      <x:c r="G60" s="23" t="n">
        <x:f>F60/(1+'Inputs'!$E$17)</x:f>
        <x:v>57761.363636363625</x:v>
      </x:c>
      <x:c r="H60" s="23" t="n">
        <x:f>($E$9+$E$40*$E$11)*'Inputs'!$E$103+G60*'Inputs'!$E$49</x:f>
        <x:v>15550</x:v>
      </x:c>
      <x:c r="I60" s="22" t="n">
        <x:f>$E$13+$E$40*$E$17+$E$16</x:f>
        <x:v>4650</x:v>
      </x:c>
      <x:c r="J60" s="18" t="n">
        <x:f>'Inputs'!$E$19</x:f>
        <x:v>0.07</x:v>
      </x:c>
      <x:c r="K60" s="22" t="n">
        <x:f>G60*(1-J60)</x:f>
        <x:v>53718.06818181817</x:v>
      </x:c>
      <x:c r="L60" s="23" t="n">
        <x:f>K60*'Inputs'!$E$20</x:f>
        <x:v>13429.517045454542</x:v>
      </x:c>
      <x:c r="M60" s="23" t="n">
        <x:f>G60*'Inputs'!$E$108</x:f>
        <x:v>1732.8409090909088</x:v>
      </x:c>
      <x:c r="N60" s="22" t="n">
        <x:f>K60-H60-I60-L60-M60</x:f>
        <x:v>18355.710227272717</x:v>
      </x:c>
      <x:c r="O60" s="1"/>
      <x:c r="P60" s="1"/>
    </x:row>
    <x:row r="61" ht="36" customHeight="1">
      <x:c r="A61" s="1"/>
      <x:c r="B61" s="1"/>
      <x:c r="C61" s="26" t="str">
        <x:v>Sandwich only</x:v>
      </x:c>
      <x:c r="D61" s="1" t="str">
        <x:v>Delivery</x:v>
      </x:c>
      <x:c r="E61" s="25" t="n">
        <x:f>E35</x:f>
        <x:v>0.35</x:v>
      </x:c>
      <x:c r="F61" s="23" t="n">
        <x:f>('Menu costing'!$D$14)*(1+$E$12)</x:f>
        <x:v>123624.99999999999</x:v>
      </x:c>
      <x:c r="G61" s="23" t="n">
        <x:f>F61/(1+'Inputs'!$E$17)</x:f>
        <x:v>112386.36363636362</x:v>
      </x:c>
      <x:c r="H61" s="23" t="n">
        <x:f>('Menu costing'!$F$14)*'Inputs'!$E$103+G61*'Inputs'!$E$49</x:f>
        <x:v>34257.01023391813</x:v>
      </x:c>
      <x:c r="I61" s="22" t="n">
        <x:f>$E$14+$E$16</x:f>
        <x:v>5500</x:v>
      </x:c>
      <x:c r="J61" s="18" t="n">
        <x:f>'Inputs'!$E$19</x:f>
        <x:v>0.07</x:v>
      </x:c>
      <x:c r="K61" s="22" t="n">
        <x:f>G61*(1-J61)</x:f>
        <x:v>104519.31818181816</x:v>
      </x:c>
      <x:c r="L61" s="23" t="n">
        <x:f>K61*'Inputs'!$E$20</x:f>
        <x:v>26129.82954545454</x:v>
      </x:c>
      <x:c r="M61" s="23" t="n">
        <x:f>G61*'Inputs'!$E$108</x:f>
        <x:v>3371.5909090909086</x:v>
      </x:c>
      <x:c r="N61" s="22" t="n">
        <x:f>K61-H61-I61-L61-M61</x:f>
        <x:v>35260.887493354574</x:v>
      </x:c>
      <x:c r="O61" s="1"/>
      <x:c r="P61" s="1"/>
    </x:row>
    <x:row r="62" ht="36" customHeight="1">
      <x:c r="A62" s="1"/>
      <x:c r="B62" s="1"/>
      <x:c r="C62" s="26" t="str">
        <x:v>Sandwich + drink</x:v>
      </x:c>
      <x:c r="D62" s="1" t="str">
        <x:v>Delivery</x:v>
      </x:c>
      <x:c r="E62" s="25" t="n">
        <x:f>E46</x:f>
        <x:v>0.55</x:v>
      </x:c>
      <x:c r="F62" s="23" t="n">
        <x:f>('Menu costing'!$D$14+$E$8)*(1+$E$12)</x:f>
        <x:v>181125</x:v>
      </x:c>
      <x:c r="G62" s="23" t="n">
        <x:f>F62/(1+'Inputs'!$E$17)</x:f>
        <x:v>164659.09090909088</x:v>
      </x:c>
      <x:c r="H62" s="23" t="n">
        <x:f>('Menu costing'!$F$14+$E$9)*'Inputs'!$E$103+G62*'Inputs'!$E$49</x:f>
        <x:v>47257.01023391813</x:v>
      </x:c>
      <x:c r="I62" s="22" t="n">
        <x:f>$E$15+$E$16</x:f>
        <x:v>8000</x:v>
      </x:c>
      <x:c r="J62" s="18" t="n">
        <x:f>'Inputs'!$E$19</x:f>
        <x:v>0.07</x:v>
      </x:c>
      <x:c r="K62" s="22" t="n">
        <x:f>G62*(1-J62)</x:f>
        <x:v>153132.9545454545</x:v>
      </x:c>
      <x:c r="L62" s="23" t="n">
        <x:f>K62*'Inputs'!$E$20</x:f>
        <x:v>38283.238636363625</x:v>
      </x:c>
      <x:c r="M62" s="23" t="n">
        <x:f>G62*'Inputs'!$E$108</x:f>
        <x:v>4939.772727272726</x:v>
      </x:c>
      <x:c r="N62" s="22" t="n">
        <x:f>K62-H62-I62-L62-M62</x:f>
        <x:v>54652.932947900015</x:v>
      </x:c>
      <x:c r="O62" s="1"/>
      <x:c r="P62" s="1"/>
    </x:row>
    <x:row r="63" ht="22" customHeight="1">
      <x:c r="A63" s="1"/>
      <x:c r="B63" s="1"/>
      <x:c r="C63" s="1"/>
      <x:c r="D63" s="1"/>
      <x:c r="E63" s="1"/>
      <x:c r="F63" s="24"/>
      <x:c r="G63" s="24"/>
      <x:c r="H63" s="24"/>
      <x:c r="I63" s="24"/>
      <x:c r="J63" s="24"/>
      <x:c r="K63" s="24"/>
      <x:c r="L63" s="24"/>
      <x:c r="M63" s="24"/>
      <x:c r="N63" s="24"/>
      <x:c r="O63" s="1"/>
      <x:c r="P63" s="1"/>
    </x:row>
    <x:row r="64" ht="22" customHeight="1">
      <x:c r="A64" s="1"/>
      <x:c r="B64" s="1"/>
      <x:c r="C64" s="1"/>
      <x:c r="D64" s="1"/>
      <x:c r="E64" s="1"/>
      <x:c r="F64" s="24"/>
      <x:c r="G64" s="24"/>
      <x:c r="H64" s="24"/>
      <x:c r="I64" s="24"/>
      <x:c r="J64" s="24"/>
      <x:c r="K64" s="24"/>
      <x:c r="L64" s="24"/>
      <x:c r="M64" s="24"/>
      <x:c r="N64" s="24"/>
      <x:c r="O64" s="1"/>
      <x:c r="P64" s="1"/>
    </x:row>
    <x:row r="65" ht="22" customHeight="1">
      <x:c r="A65" s="1"/>
      <x:c r="B65" s="1"/>
      <x:c r="C65" s="1"/>
      <x:c r="D65" s="1"/>
      <x:c r="E65" s="1"/>
      <x:c r="F65" s="24"/>
      <x:c r="G65" s="24"/>
      <x:c r="H65" s="24"/>
      <x:c r="I65" s="24"/>
      <x:c r="J65" s="24"/>
      <x:c r="K65" s="24"/>
      <x:c r="L65" s="24"/>
      <x:c r="M65" s="24"/>
      <x:c r="N65" s="24"/>
      <x:c r="O65" s="1"/>
      <x:c r="P65" s="1"/>
    </x:row>
    <x:row r="66" ht="22" customHeight="1">
      <x:c r="A66" s="1"/>
      <x:c r="B66" s="1"/>
      <x:c r="C66" s="14" t="str">
        <x:v>Dine-in weighted transaction</x:v>
      </x:c>
      <x:c r="D66" s="14"/>
      <x:c r="E66" s="14"/>
      <x:c r="F66" s="16" t="n">
        <x:f>IF(MIN(E54:E56)&lt;0,"Invalid purchase mix",SUMPRODUCT(E54:E56,F54:F56))</x:f>
        <x:v>101487.5</x:v>
      </x:c>
      <x:c r="G66" s="16" t="n">
        <x:f>IF(MIN(E54:E56)&lt;0,"Invalid purchase mix",SUMPRODUCT(E54:E56,G54:G56))</x:f>
        <x:v>92261.36363636363</x:v>
      </x:c>
      <x:c r="H66" s="16" t="n">
        <x:f>IF(MIN(E54:E56)&lt;0,"Invalid purchase mix",SUMPRODUCT(E54:E56,H54:H56))</x:f>
        <x:v>30388.855628654976</x:v>
      </x:c>
      <x:c r="I66" s="16" t="n">
        <x:f>IF(MIN(E54:E56)&lt;0,"Invalid purchase mix",SUMPRODUCT(E54:E56,I54:I56))</x:f>
        <x:v>1000</x:v>
      </x:c>
      <x:c r="J66" s="27"/>
      <x:c r="K66" s="16" t="n">
        <x:f>IF(MIN(E54:E56)&lt;0,"Invalid purchase mix",SUMPRODUCT(E54:E56,K54:K56))</x:f>
        <x:v>92261.36363636363</x:v>
      </x:c>
      <x:c r="L66" s="16" t="n">
        <x:f>IF(MIN(E54:E56)&lt;0,"Invalid purchase mix",SUMPRODUCT(E54:E56,L54:L56))</x:f>
        <x:v>922.6136363636365</x:v>
      </x:c>
      <x:c r="M66" s="16" t="n">
        <x:f>IF(MIN(E54:E56)&lt;0,"Invalid purchase mix",SUMPRODUCT(E54:E56,M54:M56))</x:f>
        <x:v>2767.840909090909</x:v>
      </x:c>
      <x:c r="N66" s="16" t="n">
        <x:f>IF(MIN(E54:E56)&lt;0,"Invalid purchase mix",SUMPRODUCT(E54:E56,N54:N56))</x:f>
        <x:v>57182.053462254116</x:v>
      </x:c>
      <x:c r="O66" s="1"/>
      <x:c r="P66" s="1"/>
    </x:row>
    <x:row r="67" ht="22" customHeight="1">
      <x:c r="A67" s="1"/>
      <x:c r="B67" s="1"/>
      <x:c r="C67" s="14" t="str">
        <x:v>Takeaway weighted transaction</x:v>
      </x:c>
      <x:c r="D67" s="14"/>
      <x:c r="E67" s="14"/>
      <x:c r="F67" s="16" t="n">
        <x:f>IF(MIN(E57:E59)&lt;0,"Invalid purchase mix",SUMPRODUCT(E57:E59,F57:F59))</x:f>
        <x:v>101487.5</x:v>
      </x:c>
      <x:c r="G67" s="16" t="n">
        <x:f>IF(MIN(E57:E59)&lt;0,"Invalid purchase mix",SUMPRODUCT(E57:E59,G57:G59))</x:f>
        <x:v>92261.36363636363</x:v>
      </x:c>
      <x:c r="H67" s="16" t="n">
        <x:f>IF(MIN(E57:E59)&lt;0,"Invalid purchase mix",SUMPRODUCT(E57:E59,H57:H59))</x:f>
        <x:v>30388.855628654976</x:v>
      </x:c>
      <x:c r="I67" s="16" t="n">
        <x:f>IF(MIN(E57:E59)&lt;0,"Invalid purchase mix",SUMPRODUCT(E57:E59,I57:I59))</x:f>
        <x:v>4492.5</x:v>
      </x:c>
      <x:c r="J67" s="27"/>
      <x:c r="K67" s="16" t="n">
        <x:f>IF(MIN(E57:E59)&lt;0,"Invalid purchase mix",SUMPRODUCT(E57:E59,K57:K59))</x:f>
        <x:v>90416.13636363635</x:v>
      </x:c>
      <x:c r="L67" s="16" t="n">
        <x:f>IF(MIN(E57:E59)&lt;0,"Invalid purchase mix",SUMPRODUCT(E57:E59,L57:L59))</x:f>
        <x:v>904.1613636363636</x:v>
      </x:c>
      <x:c r="M67" s="16" t="n">
        <x:f>IF(MIN(E57:E59)&lt;0,"Invalid purchase mix",SUMPRODUCT(E57:E59,M57:M59))</x:f>
        <x:v>2767.840909090909</x:v>
      </x:c>
      <x:c r="N67" s="16" t="n">
        <x:f>IF(MIN(E57:E59)&lt;0,"Invalid purchase mix",SUMPRODUCT(E57:E59,N57:N59))</x:f>
        <x:v>51862.77846225412</x:v>
      </x:c>
      <x:c r="O67" s="1"/>
      <x:c r="P67" s="1"/>
    </x:row>
    <x:row r="68" ht="22" customHeight="1">
      <x:c r="A68" s="1"/>
      <x:c r="B68" s="1"/>
      <x:c r="C68" s="14" t="str">
        <x:v>Delivery weighted transaction</x:v>
      </x:c>
      <x:c r="D68" s="14"/>
      <x:c r="E68" s="14"/>
      <x:c r="F68" s="16" t="n">
        <x:f>IF(MIN(E60:E62)&lt;0,"Invalid purchase mix",SUMPRODUCT(E60:E62,F60:F62))</x:f>
        <x:v>149241.25</x:v>
      </x:c>
      <x:c r="G68" s="16" t="n">
        <x:f>IF(MIN(E60:E62)&lt;0,"Invalid purchase mix",SUMPRODUCT(E60:E62,G60:G62))</x:f>
        <x:v>135673.86363636362</x:v>
      </x:c>
      <x:c r="H68" s="16" t="n">
        <x:f>IF(MIN(E60:E62)&lt;0,"Invalid purchase mix",SUMPRODUCT(E60:E62,H60:H62))</x:f>
        <x:v>39536.30921052632</x:v>
      </x:c>
      <x:c r="I68" s="16" t="n">
        <x:f>IF(MIN(E60:E62)&lt;0,"Invalid purchase mix",SUMPRODUCT(E60:E62,I60:I62))</x:f>
        <x:v>6790</x:v>
      </x:c>
      <x:c r="J68" s="27"/>
      <x:c r="K68" s="16" t="n">
        <x:f>IF(MIN(E60:E62)&lt;0,"Invalid purchase mix",SUMPRODUCT(E60:E62,K60:K62))</x:f>
        <x:v>126176.69318181815</x:v>
      </x:c>
      <x:c r="L68" s="16" t="n">
        <x:f>IF(MIN(E60:E62)&lt;0,"Invalid purchase mix",SUMPRODUCT(E60:E62,L60:L62))</x:f>
        <x:v>31544.173295454537</x:v>
      </x:c>
      <x:c r="M68" s="16" t="n">
        <x:f>IF(MIN(E60:E62)&lt;0,"Invalid purchase mix",SUMPRODUCT(E60:E62,M60:M62))</x:f>
        <x:v>4070.2159090909086</x:v>
      </x:c>
      <x:c r="N68" s="16" t="n">
        <x:f>IF(MIN(E60:E62)&lt;0,"Invalid purchase mix",SUMPRODUCT(E60:E62,N60:N62))</x:f>
        <x:v>44235.994766746386</x:v>
      </x:c>
      <x:c r="O68" s="1"/>
      <x:c r="P68" s="1"/>
    </x:row>
    <x:row r="69" ht="22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</x:row>
    <x:row r="70" ht="22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</x:row>
    <x:row r="71" ht="22" customHeight="1">
      <x:c r="A71" s="1"/>
      <x:c r="B71" s="1"/>
      <x:c r="C71" s="1" t="str">
        <x:v>All purchase shares are hypotheses. Delivery can have a different mix from direct.</x:v>
      </x:c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</x:row>
    <x:row r="72" ht="22" customHeight="1">
      <x:c r="A72" s="1"/>
      <x:c r="B72" s="1"/>
      <x:c r="C72" s="1" t="str">
        <x:v>Removing ingredients never creates negative recipe cost or an automatic price reduction.</x:v>
      </x:c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</x:row>
    <x:row r="73" ht="22" customHeight="1">
      <x:c r="A73" s="1"/>
      <x:c r="B73" s="1"/>
      <x:c r="C73" s="1" t="str">
        <x:v>Custom extras are excluded from the forecast until costed and measured; no assumed upsell.</x:v>
      </x:c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</x:row>
    <x:row r="74" ht="22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</x:row>
    <x:row r="75" ht="22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</x:row>
    <x:row r="76" ht="22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</x:row>
    <x:row r="77" ht="22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</x:row>
    <x:row r="78" ht="22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</x:row>
    <x:row r="79" ht="22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</x:row>
    <x:row r="80" ht="22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</x:row>
    <x:row r="81" ht="22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</x:row>
    <x:row r="82" ht="22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</x:row>
    <x:row r="83" ht="22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</x:row>
    <x:row r="84" ht="22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</x:row>
    <x:row r="85" ht="22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</x:row>
    <x:row r="86" ht="22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</x:row>
    <x:row r="87" ht="22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</x:row>
    <x:row r="88" ht="22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</x:row>
    <x:row r="89" ht="22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</x:row>
    <x:row r="90" ht="22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</x:row>
    <x:row r="91" ht="22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</x:row>
    <x:row r="92" ht="22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</x:row>
    <x:row r="93" ht="22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</x:row>
    <x:row r="94" ht="22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</x:row>
    <x:row r="95" ht="22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</x:row>
    <x:row r="96" ht="22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</x:row>
    <x:row r="97" ht="22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</x:row>
    <x:row r="98" ht="22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</x:row>
    <x:row r="99" ht="22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</x:row>
    <x:row r="100" ht="22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</x:row>
    <x:row r="101" ht="22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</x:row>
    <x:row r="102" ht="22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</x:row>
    <x:row r="103" ht="22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</x:row>
    <x:row r="104" ht="22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</x:row>
    <x:row r="105" ht="22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</x:row>
    <x:row r="106" ht="22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</x:row>
    <x:row r="107" ht="22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</x:row>
    <x:row r="108" ht="22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</x:row>
    <x:row r="109" ht="22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</x:row>
    <x:row r="110" ht="22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</x:row>
    <x:row r="111" ht="22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</x:row>
    <x:row r="112" ht="22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</x:row>
    <x:row r="113" ht="22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</x:row>
    <x:row r="114" ht="22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</x:row>
    <x:row r="115" ht="22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</x:row>
    <x:row r="116" ht="22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</x:row>
    <x:row r="117" ht="22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</x:row>
    <x:row r="118" ht="22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</x:row>
    <x:row r="119" ht="22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</x:row>
    <x:row r="120" ht="22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</x:row>
    <x:row r="121" ht="22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</x:row>
    <x:row r="122" ht="22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</x:row>
    <x:row r="123" ht="22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</x:row>
    <x:row r="124" ht="22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</x:row>
    <x:row r="125" ht="22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</x:row>
    <x:row r="126" ht="22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</x:row>
    <x:row r="127" ht="22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</x:row>
    <x:row r="128" ht="22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</x:row>
    <x:row r="129" ht="22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</x:row>
    <x:row r="130" ht="22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</x:row>
    <x:row r="131" ht="22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</x:row>
    <x:row r="132" ht="22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</x:row>
    <x:row r="133" ht="22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</x:row>
    <x:row r="134" ht="22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</x:row>
    <x:row r="135" ht="22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</x:row>
    <x:row r="136" ht="22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</x:row>
    <x:row r="137" ht="22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</x:row>
    <x:row r="138" ht="22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</x:row>
    <x:row r="139" ht="22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</x:row>
    <x:row r="140" ht="22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</x:row>
    <x:row r="141" ht="22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</x:row>
    <x:row r="142" ht="22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</x:row>
    <x:row r="143" ht="22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</x:row>
    <x:row r="144" ht="22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</x:row>
    <x:row r="145" ht="22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</x:row>
    <x:row r="146" ht="22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</x:row>
    <x:row r="147" ht="22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</x:row>
    <x:row r="148" ht="22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</x:row>
    <x:row r="149" ht="22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</x:row>
    <x:row r="150" ht="22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</x:row>
    <x:row r="151" ht="22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</x:row>
    <x:row r="152" ht="22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</x:row>
    <x:row r="153" ht="22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</x:row>
    <x:row r="154" ht="22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</x:row>
    <x:row r="155" ht="22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</x:row>
    <x:row r="156" ht="22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</x:row>
    <x:row r="157" ht="22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</x:row>
    <x:row r="158" ht="22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</x:row>
    <x:row r="159" ht="22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</x:row>
    <x:row r="160" ht="22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</x:row>
    <x:row r="161" ht="22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</x:row>
    <x:row r="162" ht="22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</x:row>
    <x:row r="163" ht="22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</x:row>
    <x:row r="164" ht="22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</x:row>
    <x:row r="165" ht="22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</x:row>
    <x:row r="166" ht="22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</x:row>
    <x:row r="167" ht="22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</x:row>
    <x:row r="168" ht="22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</x:row>
    <x:row r="169" ht="22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</x:row>
    <x:row r="170" ht="22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</x:row>
    <x:row r="171" ht="22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</x:row>
    <x:row r="172" ht="22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</x:row>
    <x:row r="173" ht="22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</x:row>
    <x:row r="174" ht="22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</x:row>
    <x:row r="175" ht="22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</x:row>
    <x:row r="176" ht="22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</x:row>
    <x:row r="177" ht="22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</x:row>
    <x:row r="178" ht="22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</x:row>
    <x:row r="179" ht="22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</x:row>
    <x:row r="180" ht="22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</x:row>
    <x:row r="181" ht="22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</x:row>
    <x:row r="182" ht="22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</x:row>
    <x:row r="183" ht="22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</x:row>
    <x:row r="184" ht="22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</x:row>
    <x:row r="185" ht="22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</x:row>
    <x:row r="186" ht="22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</x:row>
    <x:row r="187" ht="22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</x:row>
    <x:row r="188" ht="22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</x:row>
    <x:row r="189" ht="22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</x:row>
    <x:row r="190" ht="22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</x:row>
  </x:sheetData>
  <x:dataValidations count="6">
    <x:dataValidation type="decimal" operator="between" sqref="E8">
      <x:formula1>40000</x:formula1>
      <x:formula2>70000</x:formula2>
    </x:dataValidation>
    <x:dataValidation type="decimal" operator="between" sqref="E21:E23">
      <x:formula1>0</x:formula1>
      <x:formula2>1</x:formula2>
    </x:dataValidation>
    <x:dataValidation type="decimal" operator="between" sqref="E26:E28">
      <x:formula1>0</x:formula1>
      <x:formula2>1</x:formula2>
    </x:dataValidation>
    <x:dataValidation type="decimal" operator="between" sqref="E31:E33">
      <x:formula1>0</x:formula1>
      <x:formula2>1</x:formula2>
    </x:dataValidation>
    <x:dataValidation type="decimal" operator="between" sqref="E36:E38">
      <x:formula1>0</x:formula1>
      <x:formula2>1</x:formula2>
    </x:dataValidation>
    <x:dataValidation type="decimal" operator="between" sqref="E41:E43">
      <x:formula1>0</x:formula1>
      <x:formula2>1</x:formula2>
    </x:dataValidation>
  </x:dataValidations>
  <x:pageMargins left="0.7" right="0.7" top="0.75" bottom="0.75" header="0.3" footer="0.3"/>
</x:worksheet>
</file>